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project/ground_truth/meetings/"/>
    </mc:Choice>
  </mc:AlternateContent>
  <xr:revisionPtr revIDLastSave="0" documentId="13_ncr:1_{1F4AF755-D67F-B046-B153-DA9C4DE1ECF7}" xr6:coauthVersionLast="36" xr6:coauthVersionMax="36" xr10:uidLastSave="{00000000-0000-0000-0000-000000000000}"/>
  <bookViews>
    <workbookView xWindow="860" yWindow="500" windowWidth="27940" windowHeight="1750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U215" i="1" l="1"/>
  <c r="U205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U103" i="1"/>
  <c r="U85" i="1"/>
  <c r="AC528" i="1"/>
  <c r="AB528" i="1"/>
  <c r="Y528" i="1"/>
  <c r="X528" i="1"/>
  <c r="U528" i="1"/>
  <c r="T528" i="1"/>
  <c r="AC527" i="1"/>
  <c r="AB527" i="1"/>
  <c r="Y527" i="1"/>
  <c r="X527" i="1"/>
  <c r="U527" i="1"/>
  <c r="T527" i="1"/>
  <c r="AC526" i="1"/>
  <c r="AB526" i="1"/>
  <c r="Y526" i="1"/>
  <c r="X526" i="1"/>
  <c r="U526" i="1"/>
  <c r="T526" i="1"/>
  <c r="Y525" i="1"/>
  <c r="X525" i="1"/>
  <c r="U525" i="1"/>
  <c r="T525" i="1"/>
  <c r="AC524" i="1"/>
  <c r="AB524" i="1"/>
  <c r="Y524" i="1"/>
  <c r="X524" i="1"/>
  <c r="U524" i="1"/>
  <c r="T524" i="1"/>
  <c r="AC523" i="1"/>
  <c r="AB523" i="1"/>
  <c r="Y523" i="1"/>
  <c r="X523" i="1"/>
  <c r="U523" i="1"/>
  <c r="T523" i="1"/>
  <c r="AC522" i="1"/>
  <c r="AB522" i="1"/>
  <c r="U522" i="1"/>
  <c r="T522" i="1"/>
  <c r="AC521" i="1"/>
  <c r="AB521" i="1"/>
  <c r="Y521" i="1"/>
  <c r="X521" i="1"/>
  <c r="U521" i="1"/>
  <c r="T521" i="1"/>
  <c r="AC520" i="1"/>
  <c r="AB520" i="1"/>
  <c r="Y520" i="1"/>
  <c r="X520" i="1"/>
  <c r="U520" i="1"/>
  <c r="T520" i="1"/>
  <c r="AC519" i="1"/>
  <c r="AB519" i="1"/>
  <c r="Y519" i="1"/>
  <c r="X519" i="1"/>
  <c r="U519" i="1"/>
  <c r="T519" i="1"/>
  <c r="AC518" i="1"/>
  <c r="AB518" i="1"/>
  <c r="Y518" i="1"/>
  <c r="X518" i="1"/>
  <c r="U518" i="1"/>
  <c r="T518" i="1"/>
  <c r="AC517" i="1"/>
  <c r="AB517" i="1"/>
  <c r="U517" i="1"/>
  <c r="T517" i="1"/>
  <c r="AC516" i="1"/>
  <c r="AB516" i="1"/>
  <c r="Y516" i="1"/>
  <c r="X516" i="1"/>
  <c r="U516" i="1"/>
  <c r="T516" i="1"/>
  <c r="AC515" i="1"/>
  <c r="AB515" i="1"/>
  <c r="Y515" i="1"/>
  <c r="X515" i="1"/>
  <c r="U515" i="1"/>
  <c r="T515" i="1"/>
  <c r="AC514" i="1"/>
  <c r="AB514" i="1"/>
  <c r="Y514" i="1"/>
  <c r="X514" i="1"/>
  <c r="U514" i="1"/>
  <c r="T514" i="1"/>
  <c r="AC513" i="1"/>
  <c r="AB513" i="1"/>
  <c r="Y513" i="1"/>
  <c r="X513" i="1"/>
  <c r="U513" i="1"/>
  <c r="T513" i="1"/>
  <c r="AC512" i="1"/>
  <c r="AB512" i="1"/>
  <c r="Y512" i="1"/>
  <c r="X512" i="1"/>
  <c r="U512" i="1"/>
  <c r="T512" i="1"/>
  <c r="AC511" i="1"/>
  <c r="AB511" i="1"/>
  <c r="Y511" i="1"/>
  <c r="X511" i="1"/>
  <c r="U511" i="1"/>
  <c r="T511" i="1"/>
  <c r="AC510" i="1"/>
  <c r="AB510" i="1"/>
  <c r="Y510" i="1"/>
  <c r="X510" i="1"/>
  <c r="U510" i="1"/>
  <c r="T510" i="1"/>
  <c r="AC509" i="1"/>
  <c r="AB509" i="1"/>
  <c r="Y509" i="1"/>
  <c r="X509" i="1"/>
  <c r="U509" i="1"/>
  <c r="T509" i="1"/>
  <c r="AC508" i="1"/>
  <c r="AB508" i="1"/>
  <c r="Y508" i="1"/>
  <c r="X508" i="1"/>
  <c r="U508" i="1"/>
  <c r="T508" i="1"/>
  <c r="AC507" i="1"/>
  <c r="AB507" i="1"/>
  <c r="Y507" i="1"/>
  <c r="X507" i="1"/>
  <c r="U507" i="1"/>
  <c r="T507" i="1"/>
  <c r="AC506" i="1"/>
  <c r="AB506" i="1"/>
  <c r="Y506" i="1"/>
  <c r="X506" i="1"/>
  <c r="U506" i="1"/>
  <c r="T506" i="1"/>
  <c r="U505" i="1"/>
  <c r="T505" i="1"/>
  <c r="AC504" i="1"/>
  <c r="AB504" i="1"/>
  <c r="Y504" i="1"/>
  <c r="X504" i="1"/>
  <c r="U504" i="1"/>
  <c r="T504" i="1"/>
  <c r="AC503" i="1"/>
  <c r="AB503" i="1"/>
  <c r="U503" i="1"/>
  <c r="T503" i="1"/>
  <c r="AC502" i="1"/>
  <c r="AB502" i="1"/>
  <c r="Y502" i="1"/>
  <c r="X502" i="1"/>
  <c r="U502" i="1"/>
  <c r="T502" i="1"/>
  <c r="AC501" i="1"/>
  <c r="AB501" i="1"/>
  <c r="Y501" i="1"/>
  <c r="X501" i="1"/>
  <c r="U501" i="1"/>
  <c r="T501" i="1"/>
  <c r="AC500" i="1"/>
  <c r="AB500" i="1"/>
  <c r="Y500" i="1"/>
  <c r="X500" i="1"/>
  <c r="U500" i="1"/>
  <c r="T500" i="1"/>
  <c r="AC499" i="1"/>
  <c r="AB499" i="1"/>
  <c r="Y499" i="1"/>
  <c r="X499" i="1"/>
  <c r="U499" i="1"/>
  <c r="T499" i="1"/>
  <c r="AC498" i="1"/>
  <c r="AB498" i="1"/>
  <c r="Y498" i="1"/>
  <c r="X498" i="1"/>
  <c r="U498" i="1"/>
  <c r="T498" i="1"/>
  <c r="AC497" i="1"/>
  <c r="AB497" i="1"/>
  <c r="Y497" i="1"/>
  <c r="X497" i="1"/>
  <c r="U497" i="1"/>
  <c r="T497" i="1"/>
  <c r="AC496" i="1"/>
  <c r="AB496" i="1"/>
  <c r="Y496" i="1"/>
  <c r="X496" i="1"/>
  <c r="U496" i="1"/>
  <c r="T496" i="1"/>
  <c r="AC495" i="1"/>
  <c r="AB495" i="1"/>
  <c r="U495" i="1"/>
  <c r="T495" i="1"/>
  <c r="AC494" i="1"/>
  <c r="AB494" i="1"/>
  <c r="U494" i="1"/>
  <c r="T494" i="1"/>
  <c r="AC493" i="1"/>
  <c r="AB493" i="1"/>
  <c r="Y493" i="1"/>
  <c r="X493" i="1"/>
  <c r="U493" i="1"/>
  <c r="T493" i="1"/>
  <c r="AC492" i="1"/>
  <c r="AB492" i="1"/>
  <c r="Y492" i="1"/>
  <c r="X492" i="1"/>
  <c r="U492" i="1"/>
  <c r="T492" i="1"/>
  <c r="Y491" i="1"/>
  <c r="X491" i="1"/>
  <c r="U491" i="1"/>
  <c r="T491" i="1"/>
  <c r="AC490" i="1"/>
  <c r="AB490" i="1"/>
  <c r="Y490" i="1"/>
  <c r="X490" i="1"/>
  <c r="U490" i="1"/>
  <c r="T490" i="1"/>
  <c r="Y489" i="1"/>
  <c r="X489" i="1"/>
  <c r="U489" i="1"/>
  <c r="T489" i="1"/>
  <c r="AC488" i="1"/>
  <c r="AB488" i="1"/>
  <c r="U488" i="1"/>
  <c r="T488" i="1"/>
  <c r="AC487" i="1"/>
  <c r="AB487" i="1"/>
  <c r="Y487" i="1"/>
  <c r="X487" i="1"/>
  <c r="U487" i="1"/>
  <c r="T487" i="1"/>
  <c r="AC486" i="1"/>
  <c r="AB486" i="1"/>
  <c r="Y486" i="1"/>
  <c r="X486" i="1"/>
  <c r="U486" i="1"/>
  <c r="T486" i="1"/>
  <c r="AC485" i="1"/>
  <c r="AB485" i="1"/>
  <c r="Y485" i="1"/>
  <c r="X485" i="1"/>
  <c r="U485" i="1"/>
  <c r="T485" i="1"/>
  <c r="AC484" i="1"/>
  <c r="AB484" i="1"/>
  <c r="Y484" i="1"/>
  <c r="X484" i="1"/>
  <c r="U484" i="1"/>
  <c r="T484" i="1"/>
  <c r="Y483" i="1"/>
  <c r="X483" i="1"/>
  <c r="U483" i="1"/>
  <c r="T483" i="1"/>
  <c r="AC482" i="1"/>
  <c r="AB482" i="1"/>
  <c r="U482" i="1"/>
  <c r="T482" i="1"/>
  <c r="AC481" i="1"/>
  <c r="AB481" i="1"/>
  <c r="Y481" i="1"/>
  <c r="X481" i="1"/>
  <c r="U481" i="1"/>
  <c r="T481" i="1"/>
  <c r="AC480" i="1"/>
  <c r="AB480" i="1"/>
  <c r="Y480" i="1"/>
  <c r="X480" i="1"/>
  <c r="U480" i="1"/>
  <c r="T480" i="1"/>
  <c r="AC479" i="1"/>
  <c r="AB479" i="1"/>
  <c r="Y479" i="1"/>
  <c r="X479" i="1"/>
  <c r="U479" i="1"/>
  <c r="T479" i="1"/>
  <c r="AC478" i="1"/>
  <c r="AB478" i="1"/>
  <c r="Y478" i="1"/>
  <c r="X478" i="1"/>
  <c r="U478" i="1"/>
  <c r="T478" i="1"/>
  <c r="AC477" i="1"/>
  <c r="AB477" i="1"/>
  <c r="Y477" i="1"/>
  <c r="X477" i="1"/>
  <c r="U477" i="1"/>
  <c r="T477" i="1"/>
  <c r="AC476" i="1"/>
  <c r="AB476" i="1"/>
  <c r="Y476" i="1"/>
  <c r="X476" i="1"/>
  <c r="U476" i="1"/>
  <c r="T476" i="1"/>
  <c r="AC475" i="1"/>
  <c r="AB475" i="1"/>
  <c r="Y475" i="1"/>
  <c r="X475" i="1"/>
  <c r="U475" i="1"/>
  <c r="T475" i="1"/>
  <c r="AC474" i="1"/>
  <c r="AB474" i="1"/>
  <c r="U474" i="1"/>
  <c r="T474" i="1"/>
  <c r="AC473" i="1"/>
  <c r="AB473" i="1"/>
  <c r="Y473" i="1"/>
  <c r="X473" i="1"/>
  <c r="U473" i="1"/>
  <c r="T473" i="1"/>
  <c r="AC472" i="1"/>
  <c r="AB472" i="1"/>
  <c r="Y472" i="1"/>
  <c r="X472" i="1"/>
  <c r="U472" i="1"/>
  <c r="T472" i="1"/>
  <c r="AC471" i="1"/>
  <c r="AB471" i="1"/>
  <c r="Y471" i="1"/>
  <c r="X471" i="1"/>
  <c r="U471" i="1"/>
  <c r="T471" i="1"/>
  <c r="AC470" i="1"/>
  <c r="AB470" i="1"/>
  <c r="Y470" i="1"/>
  <c r="X470" i="1"/>
  <c r="U470" i="1"/>
  <c r="T470" i="1"/>
  <c r="AC469" i="1"/>
  <c r="AB469" i="1"/>
  <c r="Y469" i="1"/>
  <c r="X469" i="1"/>
  <c r="U469" i="1"/>
  <c r="T469" i="1"/>
  <c r="Y468" i="1"/>
  <c r="X468" i="1"/>
  <c r="U468" i="1"/>
  <c r="T468" i="1"/>
  <c r="Y467" i="1"/>
  <c r="X467" i="1"/>
  <c r="U467" i="1"/>
  <c r="T467" i="1"/>
  <c r="AC466" i="1"/>
  <c r="AB466" i="1"/>
  <c r="Y466" i="1"/>
  <c r="X466" i="1"/>
  <c r="U466" i="1"/>
  <c r="T466" i="1"/>
  <c r="AC465" i="1"/>
  <c r="AB465" i="1"/>
  <c r="Y465" i="1"/>
  <c r="X465" i="1"/>
  <c r="U465" i="1"/>
  <c r="T465" i="1"/>
  <c r="AC464" i="1"/>
  <c r="AB464" i="1"/>
  <c r="Y464" i="1"/>
  <c r="X464" i="1"/>
  <c r="U464" i="1"/>
  <c r="T464" i="1"/>
  <c r="AC463" i="1"/>
  <c r="AB463" i="1"/>
  <c r="Y463" i="1"/>
  <c r="X463" i="1"/>
  <c r="U463" i="1"/>
  <c r="T463" i="1"/>
  <c r="AC462" i="1"/>
  <c r="AB462" i="1"/>
  <c r="Y462" i="1"/>
  <c r="X462" i="1"/>
  <c r="U462" i="1"/>
  <c r="T462" i="1"/>
  <c r="AC461" i="1"/>
  <c r="AB461" i="1"/>
  <c r="Y461" i="1"/>
  <c r="X461" i="1"/>
  <c r="U461" i="1"/>
  <c r="T461" i="1"/>
  <c r="AC460" i="1"/>
  <c r="AB460" i="1"/>
  <c r="Y460" i="1"/>
  <c r="X460" i="1"/>
  <c r="U460" i="1"/>
  <c r="T460" i="1"/>
  <c r="AC459" i="1"/>
  <c r="AB459" i="1"/>
  <c r="Y459" i="1"/>
  <c r="X459" i="1"/>
  <c r="U459" i="1"/>
  <c r="T459" i="1"/>
  <c r="AC458" i="1"/>
  <c r="AB458" i="1"/>
  <c r="Y458" i="1"/>
  <c r="X458" i="1"/>
  <c r="U458" i="1"/>
  <c r="T458" i="1"/>
  <c r="AC457" i="1"/>
  <c r="AB457" i="1"/>
  <c r="Y457" i="1"/>
  <c r="X457" i="1"/>
  <c r="U457" i="1"/>
  <c r="T457" i="1"/>
  <c r="AC456" i="1"/>
  <c r="AB456" i="1"/>
  <c r="Y456" i="1"/>
  <c r="X456" i="1"/>
  <c r="U456" i="1"/>
  <c r="T456" i="1"/>
  <c r="AC455" i="1"/>
  <c r="AB455" i="1"/>
  <c r="Y455" i="1"/>
  <c r="X455" i="1"/>
  <c r="U455" i="1"/>
  <c r="T455" i="1"/>
  <c r="AC454" i="1"/>
  <c r="AB454" i="1"/>
  <c r="Y454" i="1"/>
  <c r="X454" i="1"/>
  <c r="U454" i="1"/>
  <c r="T454" i="1"/>
  <c r="AC453" i="1"/>
  <c r="AB453" i="1"/>
  <c r="U453" i="1"/>
  <c r="T453" i="1"/>
  <c r="AC452" i="1"/>
  <c r="AB452" i="1"/>
  <c r="Y452" i="1"/>
  <c r="X452" i="1"/>
  <c r="U452" i="1"/>
  <c r="T452" i="1"/>
  <c r="AC451" i="1"/>
  <c r="AB451" i="1"/>
  <c r="U451" i="1"/>
  <c r="T451" i="1"/>
  <c r="AC450" i="1"/>
  <c r="AB450" i="1"/>
  <c r="Y450" i="1"/>
  <c r="X450" i="1"/>
  <c r="U450" i="1"/>
  <c r="T450" i="1"/>
  <c r="AC449" i="1"/>
  <c r="AB449" i="1"/>
  <c r="Y449" i="1"/>
  <c r="X449" i="1"/>
  <c r="U449" i="1"/>
  <c r="T449" i="1"/>
  <c r="AC448" i="1"/>
  <c r="AB448" i="1"/>
  <c r="Y448" i="1"/>
  <c r="X448" i="1"/>
  <c r="U448" i="1"/>
  <c r="T448" i="1"/>
  <c r="AC447" i="1"/>
  <c r="AB447" i="1"/>
  <c r="Y447" i="1"/>
  <c r="X447" i="1"/>
  <c r="U447" i="1"/>
  <c r="T447" i="1"/>
  <c r="AC446" i="1"/>
  <c r="AB446" i="1"/>
  <c r="U446" i="1"/>
  <c r="T446" i="1"/>
  <c r="AC445" i="1"/>
  <c r="AB445" i="1"/>
  <c r="Y445" i="1"/>
  <c r="X445" i="1"/>
  <c r="U445" i="1"/>
  <c r="T445" i="1"/>
  <c r="AC444" i="1"/>
  <c r="AB444" i="1"/>
  <c r="Y444" i="1"/>
  <c r="X444" i="1"/>
  <c r="U444" i="1"/>
  <c r="T444" i="1"/>
  <c r="AC443" i="1"/>
  <c r="AB443" i="1"/>
  <c r="Y443" i="1"/>
  <c r="X443" i="1"/>
  <c r="U443" i="1"/>
  <c r="T443" i="1"/>
  <c r="AC442" i="1"/>
  <c r="AB442" i="1"/>
  <c r="Y442" i="1"/>
  <c r="X442" i="1"/>
  <c r="U442" i="1"/>
  <c r="T442" i="1"/>
  <c r="AC441" i="1"/>
  <c r="AB441" i="1"/>
  <c r="Y441" i="1"/>
  <c r="X441" i="1"/>
  <c r="U441" i="1"/>
  <c r="T441" i="1"/>
  <c r="Y440" i="1"/>
  <c r="X440" i="1"/>
  <c r="U440" i="1"/>
  <c r="T440" i="1"/>
  <c r="AC439" i="1"/>
  <c r="AB439" i="1"/>
  <c r="Y439" i="1"/>
  <c r="X439" i="1"/>
  <c r="U439" i="1"/>
  <c r="T439" i="1"/>
  <c r="AC438" i="1"/>
  <c r="AB438" i="1"/>
  <c r="Y438" i="1"/>
  <c r="X438" i="1"/>
  <c r="U438" i="1"/>
  <c r="T438" i="1"/>
  <c r="AC437" i="1"/>
  <c r="AB437" i="1"/>
  <c r="Y437" i="1"/>
  <c r="X437" i="1"/>
  <c r="U437" i="1"/>
  <c r="T437" i="1"/>
  <c r="AC436" i="1"/>
  <c r="AB436" i="1"/>
  <c r="Y436" i="1"/>
  <c r="X436" i="1"/>
  <c r="U436" i="1"/>
  <c r="T436" i="1"/>
  <c r="AC435" i="1"/>
  <c r="AB435" i="1"/>
  <c r="Y435" i="1"/>
  <c r="X435" i="1"/>
  <c r="U435" i="1"/>
  <c r="T435" i="1"/>
  <c r="U434" i="1"/>
  <c r="T434" i="1"/>
  <c r="AC433" i="1"/>
  <c r="AB433" i="1"/>
  <c r="Y433" i="1"/>
  <c r="X433" i="1"/>
  <c r="U433" i="1"/>
  <c r="T433" i="1"/>
  <c r="AC432" i="1"/>
  <c r="AB432" i="1"/>
  <c r="Y432" i="1"/>
  <c r="X432" i="1"/>
  <c r="U432" i="1"/>
  <c r="T432" i="1"/>
  <c r="AC431" i="1"/>
  <c r="AB431" i="1"/>
  <c r="Y431" i="1"/>
  <c r="X431" i="1"/>
  <c r="U431" i="1"/>
  <c r="T431" i="1"/>
  <c r="AC430" i="1"/>
  <c r="AB430" i="1"/>
  <c r="Y430" i="1"/>
  <c r="X430" i="1"/>
  <c r="U430" i="1"/>
  <c r="T430" i="1"/>
  <c r="AC429" i="1"/>
  <c r="AB429" i="1"/>
  <c r="Y429" i="1"/>
  <c r="X429" i="1"/>
  <c r="U429" i="1"/>
  <c r="T429" i="1"/>
  <c r="AC428" i="1"/>
  <c r="AB428" i="1"/>
  <c r="Y428" i="1"/>
  <c r="X428" i="1"/>
  <c r="U428" i="1"/>
  <c r="T428" i="1"/>
  <c r="AC427" i="1"/>
  <c r="AB427" i="1"/>
  <c r="Y427" i="1"/>
  <c r="X427" i="1"/>
  <c r="U427" i="1"/>
  <c r="T427" i="1"/>
  <c r="AC426" i="1"/>
  <c r="AB426" i="1"/>
  <c r="Y426" i="1"/>
  <c r="X426" i="1"/>
  <c r="U426" i="1"/>
  <c r="T426" i="1"/>
  <c r="AC425" i="1"/>
  <c r="AB425" i="1"/>
  <c r="Y425" i="1"/>
  <c r="X425" i="1"/>
  <c r="U425" i="1"/>
  <c r="T425" i="1"/>
  <c r="AC424" i="1"/>
  <c r="AB424" i="1"/>
  <c r="Y424" i="1"/>
  <c r="X424" i="1"/>
  <c r="U424" i="1"/>
  <c r="T424" i="1"/>
  <c r="AC423" i="1"/>
  <c r="AB423" i="1"/>
  <c r="Y423" i="1"/>
  <c r="X423" i="1"/>
  <c r="U423" i="1"/>
  <c r="T423" i="1"/>
  <c r="Y422" i="1"/>
  <c r="X422" i="1"/>
  <c r="U422" i="1"/>
  <c r="T422" i="1"/>
  <c r="AC421" i="1"/>
  <c r="AB421" i="1"/>
  <c r="Y421" i="1"/>
  <c r="X421" i="1"/>
  <c r="U421" i="1"/>
  <c r="T421" i="1"/>
  <c r="AC420" i="1"/>
  <c r="AB420" i="1"/>
  <c r="U420" i="1"/>
  <c r="T420" i="1"/>
  <c r="Y419" i="1"/>
  <c r="X419" i="1"/>
  <c r="U419" i="1"/>
  <c r="T419" i="1"/>
  <c r="AC418" i="1"/>
  <c r="AB418" i="1"/>
  <c r="Y418" i="1"/>
  <c r="X418" i="1"/>
  <c r="U418" i="1"/>
  <c r="T418" i="1"/>
  <c r="AC417" i="1"/>
  <c r="AB417" i="1"/>
  <c r="Y417" i="1"/>
  <c r="X417" i="1"/>
  <c r="U417" i="1"/>
  <c r="T417" i="1"/>
  <c r="AC416" i="1"/>
  <c r="AB416" i="1"/>
  <c r="Y416" i="1"/>
  <c r="X416" i="1"/>
  <c r="U416" i="1"/>
  <c r="T416" i="1"/>
  <c r="AC415" i="1"/>
  <c r="AB415" i="1"/>
  <c r="Y415" i="1"/>
  <c r="X415" i="1"/>
  <c r="U415" i="1"/>
  <c r="T415" i="1"/>
  <c r="AC414" i="1"/>
  <c r="AB414" i="1"/>
  <c r="Y414" i="1"/>
  <c r="X414" i="1"/>
  <c r="U414" i="1"/>
  <c r="T414" i="1"/>
  <c r="AC413" i="1"/>
  <c r="AB413" i="1"/>
  <c r="Y413" i="1"/>
  <c r="X413" i="1"/>
  <c r="U413" i="1"/>
  <c r="T413" i="1"/>
  <c r="Y412" i="1"/>
  <c r="X412" i="1"/>
  <c r="U412" i="1"/>
  <c r="T412" i="1"/>
  <c r="AC411" i="1"/>
  <c r="AB411" i="1"/>
  <c r="Y411" i="1"/>
  <c r="X411" i="1"/>
  <c r="U411" i="1"/>
  <c r="T411" i="1"/>
  <c r="Y410" i="1"/>
  <c r="X410" i="1"/>
  <c r="U410" i="1"/>
  <c r="T410" i="1"/>
  <c r="AC409" i="1"/>
  <c r="AB409" i="1"/>
  <c r="Y409" i="1"/>
  <c r="X409" i="1"/>
  <c r="U409" i="1"/>
  <c r="T409" i="1"/>
  <c r="AC408" i="1"/>
  <c r="AB408" i="1"/>
  <c r="Y408" i="1"/>
  <c r="X408" i="1"/>
  <c r="U408" i="1"/>
  <c r="T408" i="1"/>
  <c r="AC407" i="1"/>
  <c r="AB407" i="1"/>
  <c r="Y407" i="1"/>
  <c r="X407" i="1"/>
  <c r="U407" i="1"/>
  <c r="T407" i="1"/>
  <c r="AC406" i="1"/>
  <c r="AB406" i="1"/>
  <c r="Y406" i="1"/>
  <c r="X406" i="1"/>
  <c r="U406" i="1"/>
  <c r="T406" i="1"/>
  <c r="AC405" i="1"/>
  <c r="AB405" i="1"/>
  <c r="Y405" i="1"/>
  <c r="X405" i="1"/>
  <c r="U405" i="1"/>
  <c r="T405" i="1"/>
  <c r="AC404" i="1"/>
  <c r="AB404" i="1"/>
  <c r="Y404" i="1"/>
  <c r="X404" i="1"/>
  <c r="U404" i="1"/>
  <c r="T404" i="1"/>
  <c r="AC403" i="1"/>
  <c r="AB403" i="1"/>
  <c r="Y403" i="1"/>
  <c r="X403" i="1"/>
  <c r="U403" i="1"/>
  <c r="T403" i="1"/>
  <c r="AC402" i="1"/>
  <c r="AB402" i="1"/>
  <c r="Y402" i="1"/>
  <c r="X402" i="1"/>
  <c r="U402" i="1"/>
  <c r="T402" i="1"/>
  <c r="Y401" i="1"/>
  <c r="X401" i="1"/>
  <c r="U401" i="1"/>
  <c r="T401" i="1"/>
  <c r="AC400" i="1"/>
  <c r="AB400" i="1"/>
  <c r="U400" i="1"/>
  <c r="T400" i="1"/>
  <c r="AC399" i="1"/>
  <c r="AB399" i="1"/>
  <c r="Y399" i="1"/>
  <c r="X399" i="1"/>
  <c r="U399" i="1"/>
  <c r="T399" i="1"/>
  <c r="AC398" i="1"/>
  <c r="AB398" i="1"/>
  <c r="Y398" i="1"/>
  <c r="X398" i="1"/>
  <c r="U398" i="1"/>
  <c r="T398" i="1"/>
  <c r="AC397" i="1"/>
  <c r="AB397" i="1"/>
  <c r="Y397" i="1"/>
  <c r="X397" i="1"/>
  <c r="U397" i="1"/>
  <c r="T397" i="1"/>
  <c r="U396" i="1"/>
  <c r="T396" i="1"/>
  <c r="AC395" i="1"/>
  <c r="AB395" i="1"/>
  <c r="Y395" i="1"/>
  <c r="X395" i="1"/>
  <c r="U395" i="1"/>
  <c r="T395" i="1"/>
  <c r="AC394" i="1"/>
  <c r="AB394" i="1"/>
  <c r="Y394" i="1"/>
  <c r="X394" i="1"/>
  <c r="U394" i="1"/>
  <c r="T394" i="1"/>
  <c r="AC393" i="1"/>
  <c r="AB393" i="1"/>
  <c r="Y393" i="1"/>
  <c r="X393" i="1"/>
  <c r="U393" i="1"/>
  <c r="T393" i="1"/>
  <c r="AC392" i="1"/>
  <c r="AB392" i="1"/>
  <c r="Y392" i="1"/>
  <c r="X392" i="1"/>
  <c r="U392" i="1"/>
  <c r="T392" i="1"/>
  <c r="AC391" i="1"/>
  <c r="AB391" i="1"/>
  <c r="Y391" i="1"/>
  <c r="X391" i="1"/>
  <c r="U391" i="1"/>
  <c r="T391" i="1"/>
  <c r="AC390" i="1"/>
  <c r="AB390" i="1"/>
  <c r="Y390" i="1"/>
  <c r="X390" i="1"/>
  <c r="U390" i="1"/>
  <c r="T390" i="1"/>
  <c r="AC389" i="1"/>
  <c r="AB389" i="1"/>
  <c r="Y389" i="1"/>
  <c r="X389" i="1"/>
  <c r="U389" i="1"/>
  <c r="T389" i="1"/>
  <c r="AC388" i="1"/>
  <c r="AB388" i="1"/>
  <c r="Y388" i="1"/>
  <c r="X388" i="1"/>
  <c r="U388" i="1"/>
  <c r="T388" i="1"/>
  <c r="AC387" i="1"/>
  <c r="AB387" i="1"/>
  <c r="U387" i="1"/>
  <c r="T387" i="1"/>
  <c r="AC386" i="1"/>
  <c r="AB386" i="1"/>
  <c r="U386" i="1"/>
  <c r="T386" i="1"/>
  <c r="AC385" i="1"/>
  <c r="AB385" i="1"/>
  <c r="Y385" i="1"/>
  <c r="X385" i="1"/>
  <c r="U385" i="1"/>
  <c r="T385" i="1"/>
  <c r="AC384" i="1"/>
  <c r="AB384" i="1"/>
  <c r="Y384" i="1"/>
  <c r="X384" i="1"/>
  <c r="U384" i="1"/>
  <c r="T384" i="1"/>
  <c r="AC383" i="1"/>
  <c r="AB383" i="1"/>
  <c r="Y383" i="1"/>
  <c r="X383" i="1"/>
  <c r="U383" i="1"/>
  <c r="T383" i="1"/>
  <c r="AC382" i="1"/>
  <c r="AB382" i="1"/>
  <c r="Y382" i="1"/>
  <c r="X382" i="1"/>
  <c r="U382" i="1"/>
  <c r="T382" i="1"/>
  <c r="AC381" i="1"/>
  <c r="AB381" i="1"/>
  <c r="Y381" i="1"/>
  <c r="X381" i="1"/>
  <c r="U381" i="1"/>
  <c r="T381" i="1"/>
  <c r="AC380" i="1"/>
  <c r="AB380" i="1"/>
  <c r="Y380" i="1"/>
  <c r="X380" i="1"/>
  <c r="U380" i="1"/>
  <c r="T380" i="1"/>
  <c r="AC379" i="1"/>
  <c r="AB379" i="1"/>
  <c r="Y379" i="1"/>
  <c r="X379" i="1"/>
  <c r="U379" i="1"/>
  <c r="T379" i="1"/>
  <c r="AC378" i="1"/>
  <c r="AB378" i="1"/>
  <c r="Y378" i="1"/>
  <c r="X378" i="1"/>
  <c r="U378" i="1"/>
  <c r="T378" i="1"/>
  <c r="AC377" i="1"/>
  <c r="AB377" i="1"/>
  <c r="Y377" i="1"/>
  <c r="X377" i="1"/>
  <c r="U377" i="1"/>
  <c r="T377" i="1"/>
  <c r="AC376" i="1"/>
  <c r="AB376" i="1"/>
  <c r="Y376" i="1"/>
  <c r="X376" i="1"/>
  <c r="U376" i="1"/>
  <c r="T376" i="1"/>
  <c r="AC375" i="1"/>
  <c r="AB375" i="1"/>
  <c r="Y375" i="1"/>
  <c r="X375" i="1"/>
  <c r="U375" i="1"/>
  <c r="T375" i="1"/>
  <c r="AC374" i="1"/>
  <c r="AB374" i="1"/>
  <c r="Y374" i="1"/>
  <c r="X374" i="1"/>
  <c r="U374" i="1"/>
  <c r="T374" i="1"/>
  <c r="AC373" i="1"/>
  <c r="AB373" i="1"/>
  <c r="U373" i="1"/>
  <c r="T373" i="1"/>
  <c r="AC372" i="1"/>
  <c r="AB372" i="1"/>
  <c r="Y372" i="1"/>
  <c r="X372" i="1"/>
  <c r="U372" i="1"/>
  <c r="T372" i="1"/>
  <c r="AC371" i="1"/>
  <c r="AB371" i="1"/>
  <c r="Y371" i="1"/>
  <c r="X371" i="1"/>
  <c r="U371" i="1"/>
  <c r="T371" i="1"/>
  <c r="AC370" i="1"/>
  <c r="AB370" i="1"/>
  <c r="Y370" i="1"/>
  <c r="X370" i="1"/>
  <c r="U370" i="1"/>
  <c r="T370" i="1"/>
  <c r="AC369" i="1"/>
  <c r="AB369" i="1"/>
  <c r="Y369" i="1"/>
  <c r="X369" i="1"/>
  <c r="U369" i="1"/>
  <c r="T369" i="1"/>
  <c r="AC368" i="1"/>
  <c r="AB368" i="1"/>
  <c r="Y368" i="1"/>
  <c r="X368" i="1"/>
  <c r="U368" i="1"/>
  <c r="T368" i="1"/>
  <c r="AC367" i="1"/>
  <c r="AB367" i="1"/>
  <c r="Y367" i="1"/>
  <c r="X367" i="1"/>
  <c r="U367" i="1"/>
  <c r="T367" i="1"/>
  <c r="AC366" i="1"/>
  <c r="AB366" i="1"/>
  <c r="Y366" i="1"/>
  <c r="X366" i="1"/>
  <c r="U366" i="1"/>
  <c r="T366" i="1"/>
  <c r="AC365" i="1"/>
  <c r="AB365" i="1"/>
  <c r="Y365" i="1"/>
  <c r="X365" i="1"/>
  <c r="U365" i="1"/>
  <c r="T365" i="1"/>
  <c r="AC364" i="1"/>
  <c r="AB364" i="1"/>
  <c r="Y364" i="1"/>
  <c r="X364" i="1"/>
  <c r="U364" i="1"/>
  <c r="T364" i="1"/>
  <c r="AC363" i="1"/>
  <c r="AB363" i="1"/>
  <c r="Y363" i="1"/>
  <c r="X363" i="1"/>
  <c r="U363" i="1"/>
  <c r="T363" i="1"/>
  <c r="AC362" i="1"/>
  <c r="AB362" i="1"/>
  <c r="Y362" i="1"/>
  <c r="X362" i="1"/>
  <c r="U362" i="1"/>
  <c r="T362" i="1"/>
  <c r="AC361" i="1"/>
  <c r="AB361" i="1"/>
  <c r="Y361" i="1"/>
  <c r="X361" i="1"/>
  <c r="U361" i="1"/>
  <c r="T361" i="1"/>
  <c r="AC360" i="1"/>
  <c r="AB360" i="1"/>
  <c r="Y360" i="1"/>
  <c r="X360" i="1"/>
  <c r="U360" i="1"/>
  <c r="T360" i="1"/>
  <c r="AC359" i="1"/>
  <c r="AB359" i="1"/>
  <c r="Y359" i="1"/>
  <c r="X359" i="1"/>
  <c r="U359" i="1"/>
  <c r="T359" i="1"/>
  <c r="AC358" i="1"/>
  <c r="AB358" i="1"/>
  <c r="Y358" i="1"/>
  <c r="X358" i="1"/>
  <c r="U358" i="1"/>
  <c r="T358" i="1"/>
  <c r="AC357" i="1"/>
  <c r="AB357" i="1"/>
  <c r="Y357" i="1"/>
  <c r="X357" i="1"/>
  <c r="U357" i="1"/>
  <c r="T357" i="1"/>
  <c r="AC356" i="1"/>
  <c r="AB356" i="1"/>
  <c r="Y356" i="1"/>
  <c r="X356" i="1"/>
  <c r="U356" i="1"/>
  <c r="T356" i="1"/>
  <c r="AC355" i="1"/>
  <c r="AB355" i="1"/>
  <c r="Y355" i="1"/>
  <c r="X355" i="1"/>
  <c r="U355" i="1"/>
  <c r="T355" i="1"/>
  <c r="AC354" i="1"/>
  <c r="AB354" i="1"/>
  <c r="Y354" i="1"/>
  <c r="X354" i="1"/>
  <c r="U354" i="1"/>
  <c r="T354" i="1"/>
  <c r="AC353" i="1"/>
  <c r="AB353" i="1"/>
  <c r="Y353" i="1"/>
  <c r="X353" i="1"/>
  <c r="U353" i="1"/>
  <c r="T353" i="1"/>
  <c r="AC352" i="1"/>
  <c r="AB352" i="1"/>
  <c r="Y352" i="1"/>
  <c r="X352" i="1"/>
  <c r="U352" i="1"/>
  <c r="T352" i="1"/>
  <c r="AC351" i="1"/>
  <c r="AB351" i="1"/>
  <c r="Y351" i="1"/>
  <c r="X351" i="1"/>
  <c r="U351" i="1"/>
  <c r="T351" i="1"/>
  <c r="AC350" i="1"/>
  <c r="AB350" i="1"/>
  <c r="Y350" i="1"/>
  <c r="X350" i="1"/>
  <c r="U350" i="1"/>
  <c r="T350" i="1"/>
  <c r="AC349" i="1"/>
  <c r="AB349" i="1"/>
  <c r="Y349" i="1"/>
  <c r="X349" i="1"/>
  <c r="U349" i="1"/>
  <c r="T349" i="1"/>
  <c r="AC348" i="1"/>
  <c r="AB348" i="1"/>
  <c r="Y348" i="1"/>
  <c r="X348" i="1"/>
  <c r="U348" i="1"/>
  <c r="T348" i="1"/>
  <c r="AC347" i="1"/>
  <c r="AB347" i="1"/>
  <c r="Y347" i="1"/>
  <c r="X347" i="1"/>
  <c r="U347" i="1"/>
  <c r="T347" i="1"/>
  <c r="AC346" i="1"/>
  <c r="AB346" i="1"/>
  <c r="Y346" i="1"/>
  <c r="X346" i="1"/>
  <c r="U346" i="1"/>
  <c r="T346" i="1"/>
  <c r="AC345" i="1"/>
  <c r="AB345" i="1"/>
  <c r="U345" i="1"/>
  <c r="T345" i="1"/>
  <c r="AC344" i="1"/>
  <c r="AB344" i="1"/>
  <c r="Y344" i="1"/>
  <c r="X344" i="1"/>
  <c r="U344" i="1"/>
  <c r="T344" i="1"/>
  <c r="AC343" i="1"/>
  <c r="AB343" i="1"/>
  <c r="Y343" i="1"/>
  <c r="X343" i="1"/>
  <c r="U343" i="1"/>
  <c r="T343" i="1"/>
  <c r="AC342" i="1"/>
  <c r="AB342" i="1"/>
  <c r="Y342" i="1"/>
  <c r="X342" i="1"/>
  <c r="U342" i="1"/>
  <c r="T342" i="1"/>
  <c r="AC341" i="1"/>
  <c r="AB341" i="1"/>
  <c r="Y341" i="1"/>
  <c r="X341" i="1"/>
  <c r="U341" i="1"/>
  <c r="T341" i="1"/>
  <c r="AC340" i="1"/>
  <c r="AB340" i="1"/>
  <c r="Y340" i="1"/>
  <c r="X340" i="1"/>
  <c r="U340" i="1"/>
  <c r="T340" i="1"/>
  <c r="AC339" i="1"/>
  <c r="AB339" i="1"/>
  <c r="Y339" i="1"/>
  <c r="X339" i="1"/>
  <c r="U339" i="1"/>
  <c r="T339" i="1"/>
  <c r="AC338" i="1"/>
  <c r="AB338" i="1"/>
  <c r="Y338" i="1"/>
  <c r="X338" i="1"/>
  <c r="U338" i="1"/>
  <c r="T338" i="1"/>
  <c r="AC337" i="1"/>
  <c r="AB337" i="1"/>
  <c r="Y337" i="1"/>
  <c r="X337" i="1"/>
  <c r="U337" i="1"/>
  <c r="T337" i="1"/>
  <c r="AC336" i="1"/>
  <c r="AB336" i="1"/>
  <c r="Y336" i="1"/>
  <c r="X336" i="1"/>
  <c r="U336" i="1"/>
  <c r="T336" i="1"/>
  <c r="AC335" i="1"/>
  <c r="AB335" i="1"/>
  <c r="Y335" i="1"/>
  <c r="X335" i="1"/>
  <c r="U335" i="1"/>
  <c r="T335" i="1"/>
  <c r="AC334" i="1"/>
  <c r="AB334" i="1"/>
  <c r="Y334" i="1"/>
  <c r="X334" i="1"/>
  <c r="U334" i="1"/>
  <c r="T334" i="1"/>
  <c r="AC333" i="1"/>
  <c r="AB333" i="1"/>
  <c r="Y333" i="1"/>
  <c r="X333" i="1"/>
  <c r="U333" i="1"/>
  <c r="T333" i="1"/>
  <c r="AC332" i="1"/>
  <c r="AB332" i="1"/>
  <c r="Y332" i="1"/>
  <c r="X332" i="1"/>
  <c r="U332" i="1"/>
  <c r="T332" i="1"/>
  <c r="AC331" i="1"/>
  <c r="AB331" i="1"/>
  <c r="Y331" i="1"/>
  <c r="X331" i="1"/>
  <c r="U331" i="1"/>
  <c r="T331" i="1"/>
  <c r="AC330" i="1"/>
  <c r="AB330" i="1"/>
  <c r="Y330" i="1"/>
  <c r="X330" i="1"/>
  <c r="U330" i="1"/>
  <c r="T330" i="1"/>
  <c r="AC329" i="1"/>
  <c r="AB329" i="1"/>
  <c r="Y329" i="1"/>
  <c r="X329" i="1"/>
  <c r="U329" i="1"/>
  <c r="T329" i="1"/>
  <c r="AC328" i="1"/>
  <c r="AB328" i="1"/>
  <c r="Y328" i="1"/>
  <c r="X328" i="1"/>
  <c r="U328" i="1"/>
  <c r="T328" i="1"/>
  <c r="AC327" i="1"/>
  <c r="AB327" i="1"/>
  <c r="Y327" i="1"/>
  <c r="X327" i="1"/>
  <c r="U327" i="1"/>
  <c r="T327" i="1"/>
  <c r="AC326" i="1"/>
  <c r="AB326" i="1"/>
  <c r="Y326" i="1"/>
  <c r="X326" i="1"/>
  <c r="U326" i="1"/>
  <c r="T326" i="1"/>
  <c r="AC325" i="1"/>
  <c r="AB325" i="1"/>
  <c r="U325" i="1"/>
  <c r="T325" i="1"/>
  <c r="AC324" i="1"/>
  <c r="AB324" i="1"/>
  <c r="Y324" i="1"/>
  <c r="X324" i="1"/>
  <c r="U324" i="1"/>
  <c r="T324" i="1"/>
  <c r="AC323" i="1"/>
  <c r="AB323" i="1"/>
  <c r="U323" i="1"/>
  <c r="T323" i="1"/>
  <c r="AC322" i="1"/>
  <c r="AB322" i="1"/>
  <c r="Y322" i="1"/>
  <c r="X322" i="1"/>
  <c r="U322" i="1"/>
  <c r="T322" i="1"/>
  <c r="AC321" i="1"/>
  <c r="AB321" i="1"/>
  <c r="Y321" i="1"/>
  <c r="X321" i="1"/>
  <c r="U321" i="1"/>
  <c r="T321" i="1"/>
  <c r="AC320" i="1"/>
  <c r="AB320" i="1"/>
  <c r="Y320" i="1"/>
  <c r="X320" i="1"/>
  <c r="U320" i="1"/>
  <c r="T320" i="1"/>
  <c r="AC319" i="1"/>
  <c r="AB319" i="1"/>
  <c r="Y319" i="1"/>
  <c r="X319" i="1"/>
  <c r="U319" i="1"/>
  <c r="T319" i="1"/>
  <c r="AC318" i="1"/>
  <c r="AB318" i="1"/>
  <c r="Y318" i="1"/>
  <c r="X318" i="1"/>
  <c r="U318" i="1"/>
  <c r="T318" i="1"/>
  <c r="AC317" i="1"/>
  <c r="AB317" i="1"/>
  <c r="Y317" i="1"/>
  <c r="X317" i="1"/>
  <c r="U317" i="1"/>
  <c r="T317" i="1"/>
  <c r="AC316" i="1"/>
  <c r="AB316" i="1"/>
  <c r="Y316" i="1"/>
  <c r="X316" i="1"/>
  <c r="U316" i="1"/>
  <c r="T316" i="1"/>
  <c r="AC315" i="1"/>
  <c r="AB315" i="1"/>
  <c r="Y315" i="1"/>
  <c r="X315" i="1"/>
  <c r="U315" i="1"/>
  <c r="T315" i="1"/>
  <c r="AC314" i="1"/>
  <c r="AB314" i="1"/>
  <c r="Y314" i="1"/>
  <c r="X314" i="1"/>
  <c r="U314" i="1"/>
  <c r="T314" i="1"/>
  <c r="AC313" i="1"/>
  <c r="AB313" i="1"/>
  <c r="Y313" i="1"/>
  <c r="X313" i="1"/>
  <c r="U313" i="1"/>
  <c r="T313" i="1"/>
  <c r="AC312" i="1"/>
  <c r="AB312" i="1"/>
  <c r="U312" i="1"/>
  <c r="T312" i="1"/>
  <c r="Y311" i="1"/>
  <c r="X311" i="1"/>
  <c r="U311" i="1"/>
  <c r="T311" i="1"/>
  <c r="AC310" i="1"/>
  <c r="AB310" i="1"/>
  <c r="Y310" i="1"/>
  <c r="X310" i="1"/>
  <c r="U310" i="1"/>
  <c r="T310" i="1"/>
  <c r="AC309" i="1"/>
  <c r="AB309" i="1"/>
  <c r="Y309" i="1"/>
  <c r="X309" i="1"/>
  <c r="U309" i="1"/>
  <c r="T309" i="1"/>
  <c r="AC308" i="1"/>
  <c r="AB308" i="1"/>
  <c r="Y308" i="1"/>
  <c r="X308" i="1"/>
  <c r="U308" i="1"/>
  <c r="T308" i="1"/>
  <c r="AC307" i="1"/>
  <c r="AB307" i="1"/>
  <c r="Y307" i="1"/>
  <c r="X307" i="1"/>
  <c r="U307" i="1"/>
  <c r="T307" i="1"/>
  <c r="AC306" i="1"/>
  <c r="AB306" i="1"/>
  <c r="Y306" i="1"/>
  <c r="X306" i="1"/>
  <c r="U306" i="1"/>
  <c r="T306" i="1"/>
  <c r="AC305" i="1"/>
  <c r="AB305" i="1"/>
  <c r="Y305" i="1"/>
  <c r="X305" i="1"/>
  <c r="U305" i="1"/>
  <c r="T305" i="1"/>
  <c r="AC304" i="1"/>
  <c r="AB304" i="1"/>
  <c r="Y304" i="1"/>
  <c r="X304" i="1"/>
  <c r="U304" i="1"/>
  <c r="T304" i="1"/>
  <c r="AC303" i="1"/>
  <c r="AB303" i="1"/>
  <c r="U303" i="1"/>
  <c r="T303" i="1"/>
  <c r="AC302" i="1"/>
  <c r="AB302" i="1"/>
  <c r="Y302" i="1"/>
  <c r="X302" i="1"/>
  <c r="U302" i="1"/>
  <c r="T302" i="1"/>
  <c r="AC301" i="1"/>
  <c r="AB301" i="1"/>
  <c r="Y301" i="1"/>
  <c r="X301" i="1"/>
  <c r="U301" i="1"/>
  <c r="T301" i="1"/>
  <c r="AC300" i="1"/>
  <c r="AB300" i="1"/>
  <c r="U300" i="1"/>
  <c r="T300" i="1"/>
  <c r="AC299" i="1"/>
  <c r="AB299" i="1"/>
  <c r="Y299" i="1"/>
  <c r="X299" i="1"/>
  <c r="U299" i="1"/>
  <c r="T299" i="1"/>
  <c r="AC298" i="1"/>
  <c r="AB298" i="1"/>
  <c r="Y298" i="1"/>
  <c r="X298" i="1"/>
  <c r="U298" i="1"/>
  <c r="T298" i="1"/>
  <c r="AC297" i="1"/>
  <c r="AB297" i="1"/>
  <c r="Y297" i="1"/>
  <c r="X297" i="1"/>
  <c r="U297" i="1"/>
  <c r="T297" i="1"/>
  <c r="Y296" i="1"/>
  <c r="X296" i="1"/>
  <c r="U296" i="1"/>
  <c r="T296" i="1"/>
  <c r="AC295" i="1"/>
  <c r="AB295" i="1"/>
  <c r="Y295" i="1"/>
  <c r="X295" i="1"/>
  <c r="U295" i="1"/>
  <c r="T295" i="1"/>
  <c r="AC294" i="1"/>
  <c r="AB294" i="1"/>
  <c r="Y294" i="1"/>
  <c r="X294" i="1"/>
  <c r="U294" i="1"/>
  <c r="T294" i="1"/>
  <c r="AC293" i="1"/>
  <c r="AB293" i="1"/>
  <c r="Y293" i="1"/>
  <c r="X293" i="1"/>
  <c r="U293" i="1"/>
  <c r="T293" i="1"/>
  <c r="AC292" i="1"/>
  <c r="AB292" i="1"/>
  <c r="Y292" i="1"/>
  <c r="X292" i="1"/>
  <c r="U292" i="1"/>
  <c r="T292" i="1"/>
  <c r="AC291" i="1"/>
  <c r="AB291" i="1"/>
  <c r="Y291" i="1"/>
  <c r="X291" i="1"/>
  <c r="U291" i="1"/>
  <c r="T291" i="1"/>
  <c r="AC290" i="1"/>
  <c r="AB290" i="1"/>
  <c r="Y290" i="1"/>
  <c r="X290" i="1"/>
  <c r="U290" i="1"/>
  <c r="T290" i="1"/>
  <c r="AC289" i="1"/>
  <c r="AB289" i="1"/>
  <c r="Y289" i="1"/>
  <c r="X289" i="1"/>
  <c r="U289" i="1"/>
  <c r="T289" i="1"/>
  <c r="AC288" i="1"/>
  <c r="AB288" i="1"/>
  <c r="Y288" i="1"/>
  <c r="X288" i="1"/>
  <c r="U288" i="1"/>
  <c r="T288" i="1"/>
  <c r="AC287" i="1"/>
  <c r="AB287" i="1"/>
  <c r="Y287" i="1"/>
  <c r="X287" i="1"/>
  <c r="U287" i="1"/>
  <c r="T287" i="1"/>
  <c r="AC286" i="1"/>
  <c r="AB286" i="1"/>
  <c r="Y286" i="1"/>
  <c r="X286" i="1"/>
  <c r="U286" i="1"/>
  <c r="T286" i="1"/>
  <c r="AC285" i="1"/>
  <c r="AB285" i="1"/>
  <c r="Y285" i="1"/>
  <c r="X285" i="1"/>
  <c r="U285" i="1"/>
  <c r="T285" i="1"/>
  <c r="AC284" i="1"/>
  <c r="AB284" i="1"/>
  <c r="U284" i="1"/>
  <c r="T284" i="1"/>
  <c r="AC283" i="1"/>
  <c r="AB283" i="1"/>
  <c r="Y283" i="1"/>
  <c r="X283" i="1"/>
  <c r="U283" i="1"/>
  <c r="T283" i="1"/>
  <c r="AC282" i="1"/>
  <c r="AB282" i="1"/>
  <c r="Y282" i="1"/>
  <c r="X282" i="1"/>
  <c r="U282" i="1"/>
  <c r="T282" i="1"/>
  <c r="AC281" i="1"/>
  <c r="AB281" i="1"/>
  <c r="U281" i="1"/>
  <c r="T281" i="1"/>
  <c r="AC280" i="1"/>
  <c r="AB280" i="1"/>
  <c r="Y280" i="1"/>
  <c r="X280" i="1"/>
  <c r="U280" i="1"/>
  <c r="T280" i="1"/>
  <c r="AC279" i="1"/>
  <c r="AB279" i="1"/>
  <c r="Y279" i="1"/>
  <c r="X279" i="1"/>
  <c r="U279" i="1"/>
  <c r="T279" i="1"/>
  <c r="AC278" i="1"/>
  <c r="AB278" i="1"/>
  <c r="Y278" i="1"/>
  <c r="X278" i="1"/>
  <c r="U278" i="1"/>
  <c r="T278" i="1"/>
  <c r="AC277" i="1"/>
  <c r="AB277" i="1"/>
  <c r="Y277" i="1"/>
  <c r="X277" i="1"/>
  <c r="U277" i="1"/>
  <c r="T277" i="1"/>
  <c r="AC276" i="1"/>
  <c r="AB276" i="1"/>
  <c r="Y276" i="1"/>
  <c r="X276" i="1"/>
  <c r="U276" i="1"/>
  <c r="T276" i="1"/>
  <c r="AC275" i="1"/>
  <c r="AB275" i="1"/>
  <c r="Y275" i="1"/>
  <c r="X275" i="1"/>
  <c r="U275" i="1"/>
  <c r="T275" i="1"/>
  <c r="AC274" i="1"/>
  <c r="AB274" i="1"/>
  <c r="Y274" i="1"/>
  <c r="X274" i="1"/>
  <c r="U274" i="1"/>
  <c r="T274" i="1"/>
  <c r="AC273" i="1"/>
  <c r="AB273" i="1"/>
  <c r="Y273" i="1"/>
  <c r="X273" i="1"/>
  <c r="U273" i="1"/>
  <c r="T273" i="1"/>
  <c r="AC272" i="1"/>
  <c r="AB272" i="1"/>
  <c r="Y272" i="1"/>
  <c r="X272" i="1"/>
  <c r="U272" i="1"/>
  <c r="T272" i="1"/>
  <c r="AC271" i="1"/>
  <c r="AB271" i="1"/>
  <c r="Y271" i="1"/>
  <c r="X271" i="1"/>
  <c r="U271" i="1"/>
  <c r="T271" i="1"/>
  <c r="AC270" i="1"/>
  <c r="AB270" i="1"/>
  <c r="Y270" i="1"/>
  <c r="X270" i="1"/>
  <c r="U270" i="1"/>
  <c r="T270" i="1"/>
  <c r="AC269" i="1"/>
  <c r="AB269" i="1"/>
  <c r="Y269" i="1"/>
  <c r="X269" i="1"/>
  <c r="U269" i="1"/>
  <c r="T269" i="1"/>
  <c r="AC268" i="1"/>
  <c r="AB268" i="1"/>
  <c r="Y268" i="1"/>
  <c r="X268" i="1"/>
  <c r="U268" i="1"/>
  <c r="T268" i="1"/>
  <c r="AC267" i="1"/>
  <c r="AB267" i="1"/>
  <c r="Y267" i="1"/>
  <c r="X267" i="1"/>
  <c r="U267" i="1"/>
  <c r="T267" i="1"/>
  <c r="Y266" i="1"/>
  <c r="X266" i="1"/>
  <c r="U266" i="1"/>
  <c r="T266" i="1"/>
  <c r="AC265" i="1"/>
  <c r="AB265" i="1"/>
  <c r="Y265" i="1"/>
  <c r="X265" i="1"/>
  <c r="U265" i="1"/>
  <c r="T265" i="1"/>
  <c r="AC264" i="1"/>
  <c r="AB264" i="1"/>
  <c r="Y264" i="1"/>
  <c r="X264" i="1"/>
  <c r="U264" i="1"/>
  <c r="T264" i="1"/>
  <c r="AC263" i="1"/>
  <c r="AB263" i="1"/>
  <c r="Y263" i="1"/>
  <c r="X263" i="1"/>
  <c r="U263" i="1"/>
  <c r="T263" i="1"/>
  <c r="Y262" i="1"/>
  <c r="X262" i="1"/>
  <c r="U262" i="1"/>
  <c r="T262" i="1"/>
  <c r="AC261" i="1"/>
  <c r="AB261" i="1"/>
  <c r="Y261" i="1"/>
  <c r="X261" i="1"/>
  <c r="U261" i="1"/>
  <c r="T261" i="1"/>
  <c r="AC260" i="1"/>
  <c r="AB260" i="1"/>
  <c r="Y260" i="1"/>
  <c r="X260" i="1"/>
  <c r="U260" i="1"/>
  <c r="T260" i="1"/>
  <c r="AC259" i="1"/>
  <c r="AB259" i="1"/>
  <c r="Y259" i="1"/>
  <c r="X259" i="1"/>
  <c r="U259" i="1"/>
  <c r="T259" i="1"/>
  <c r="AC258" i="1"/>
  <c r="AB258" i="1"/>
  <c r="Y258" i="1"/>
  <c r="X258" i="1"/>
  <c r="U258" i="1"/>
  <c r="T258" i="1"/>
  <c r="AC257" i="1"/>
  <c r="AB257" i="1"/>
  <c r="Y257" i="1"/>
  <c r="X257" i="1"/>
  <c r="U257" i="1"/>
  <c r="T257" i="1"/>
  <c r="AC256" i="1"/>
  <c r="AB256" i="1"/>
  <c r="Y256" i="1"/>
  <c r="X256" i="1"/>
  <c r="U256" i="1"/>
  <c r="T256" i="1"/>
  <c r="AC255" i="1"/>
  <c r="AB255" i="1"/>
  <c r="Y255" i="1"/>
  <c r="X255" i="1"/>
  <c r="U255" i="1"/>
  <c r="T255" i="1"/>
  <c r="AC254" i="1"/>
  <c r="AB254" i="1"/>
  <c r="U254" i="1"/>
  <c r="T254" i="1"/>
  <c r="AC253" i="1"/>
  <c r="AB253" i="1"/>
  <c r="Y253" i="1"/>
  <c r="X253" i="1"/>
  <c r="U253" i="1"/>
  <c r="T253" i="1"/>
  <c r="AC252" i="1"/>
  <c r="AB252" i="1"/>
  <c r="Y252" i="1"/>
  <c r="X252" i="1"/>
  <c r="U252" i="1"/>
  <c r="T252" i="1"/>
  <c r="AC251" i="1"/>
  <c r="AB251" i="1"/>
  <c r="Y251" i="1"/>
  <c r="X251" i="1"/>
  <c r="U251" i="1"/>
  <c r="T251" i="1"/>
  <c r="AC250" i="1"/>
  <c r="AB250" i="1"/>
  <c r="Y250" i="1"/>
  <c r="X250" i="1"/>
  <c r="U250" i="1"/>
  <c r="T250" i="1"/>
  <c r="AC249" i="1"/>
  <c r="AB249" i="1"/>
  <c r="Y249" i="1"/>
  <c r="X249" i="1"/>
  <c r="U249" i="1"/>
  <c r="T249" i="1"/>
  <c r="AC248" i="1"/>
  <c r="AB248" i="1"/>
  <c r="Y248" i="1"/>
  <c r="X248" i="1"/>
  <c r="U248" i="1"/>
  <c r="T248" i="1"/>
  <c r="AC247" i="1"/>
  <c r="AB247" i="1"/>
  <c r="Y247" i="1"/>
  <c r="X247" i="1"/>
  <c r="U247" i="1"/>
  <c r="T247" i="1"/>
  <c r="AC246" i="1"/>
  <c r="AB246" i="1"/>
  <c r="Y246" i="1"/>
  <c r="X246" i="1"/>
  <c r="U246" i="1"/>
  <c r="T246" i="1"/>
  <c r="AC245" i="1"/>
  <c r="AB245" i="1"/>
  <c r="Y245" i="1"/>
  <c r="X245" i="1"/>
  <c r="U245" i="1"/>
  <c r="T245" i="1"/>
  <c r="AC244" i="1"/>
  <c r="AB244" i="1"/>
  <c r="Y244" i="1"/>
  <c r="X244" i="1"/>
  <c r="U244" i="1"/>
  <c r="T244" i="1"/>
  <c r="AC243" i="1"/>
  <c r="AB243" i="1"/>
  <c r="Y243" i="1"/>
  <c r="X243" i="1"/>
  <c r="U243" i="1"/>
  <c r="T243" i="1"/>
  <c r="AC242" i="1"/>
  <c r="AB242" i="1"/>
  <c r="Y242" i="1"/>
  <c r="X242" i="1"/>
  <c r="U242" i="1"/>
  <c r="T242" i="1"/>
  <c r="AC241" i="1"/>
  <c r="AB241" i="1"/>
  <c r="Y241" i="1"/>
  <c r="X241" i="1"/>
  <c r="U241" i="1"/>
  <c r="T241" i="1"/>
  <c r="AC240" i="1"/>
  <c r="AB240" i="1"/>
  <c r="Y240" i="1"/>
  <c r="X240" i="1"/>
  <c r="U240" i="1"/>
  <c r="T240" i="1"/>
  <c r="AC239" i="1"/>
  <c r="AB239" i="1"/>
  <c r="Y239" i="1"/>
  <c r="X239" i="1"/>
  <c r="U239" i="1"/>
  <c r="T239" i="1"/>
  <c r="AC238" i="1"/>
  <c r="AB238" i="1"/>
  <c r="Y238" i="1"/>
  <c r="X238" i="1"/>
  <c r="U238" i="1"/>
  <c r="T238" i="1"/>
  <c r="AC237" i="1"/>
  <c r="AB237" i="1"/>
  <c r="Y237" i="1"/>
  <c r="X237" i="1"/>
  <c r="U237" i="1"/>
  <c r="T237" i="1"/>
  <c r="AC236" i="1"/>
  <c r="AB236" i="1"/>
  <c r="Y236" i="1"/>
  <c r="X236" i="1"/>
  <c r="U236" i="1"/>
  <c r="T236" i="1"/>
  <c r="AC235" i="1"/>
  <c r="AB235" i="1"/>
  <c r="Y235" i="1"/>
  <c r="X235" i="1"/>
  <c r="U235" i="1"/>
  <c r="T235" i="1"/>
  <c r="AC234" i="1"/>
  <c r="AB234" i="1"/>
  <c r="Y234" i="1"/>
  <c r="X234" i="1"/>
  <c r="U234" i="1"/>
  <c r="T234" i="1"/>
  <c r="AC233" i="1"/>
  <c r="AB233" i="1"/>
  <c r="Y233" i="1"/>
  <c r="X233" i="1"/>
  <c r="U233" i="1"/>
  <c r="T233" i="1"/>
  <c r="AC232" i="1"/>
  <c r="AB232" i="1"/>
  <c r="Y232" i="1"/>
  <c r="X232" i="1"/>
  <c r="U232" i="1"/>
  <c r="T232" i="1"/>
  <c r="AC231" i="1"/>
  <c r="AB231" i="1"/>
  <c r="Y231" i="1"/>
  <c r="X231" i="1"/>
  <c r="U231" i="1"/>
  <c r="T231" i="1"/>
  <c r="AC230" i="1"/>
  <c r="AB230" i="1"/>
  <c r="Y230" i="1"/>
  <c r="X230" i="1"/>
  <c r="U230" i="1"/>
  <c r="T230" i="1"/>
  <c r="AC229" i="1"/>
  <c r="AB229" i="1"/>
  <c r="Y229" i="1"/>
  <c r="X229" i="1"/>
  <c r="U229" i="1"/>
  <c r="T229" i="1"/>
  <c r="AC228" i="1"/>
  <c r="AB228" i="1"/>
  <c r="Y228" i="1"/>
  <c r="X228" i="1"/>
  <c r="U228" i="1"/>
  <c r="T228" i="1"/>
  <c r="AC227" i="1"/>
  <c r="AB227" i="1"/>
  <c r="Y227" i="1"/>
  <c r="X227" i="1"/>
  <c r="U227" i="1"/>
  <c r="T227" i="1"/>
  <c r="AC226" i="1"/>
  <c r="AB226" i="1"/>
  <c r="Y226" i="1"/>
  <c r="X226" i="1"/>
  <c r="U226" i="1"/>
  <c r="T226" i="1"/>
  <c r="Y225" i="1"/>
  <c r="X225" i="1"/>
  <c r="U225" i="1"/>
  <c r="T225" i="1"/>
  <c r="AC224" i="1"/>
  <c r="AB224" i="1"/>
  <c r="Y224" i="1"/>
  <c r="X224" i="1"/>
  <c r="U224" i="1"/>
  <c r="T224" i="1"/>
  <c r="AC223" i="1"/>
  <c r="AB223" i="1"/>
  <c r="Y223" i="1"/>
  <c r="X223" i="1"/>
  <c r="U223" i="1"/>
  <c r="T223" i="1"/>
  <c r="AC222" i="1"/>
  <c r="AB222" i="1"/>
  <c r="U222" i="1"/>
  <c r="T222" i="1"/>
  <c r="U221" i="1"/>
  <c r="T221" i="1"/>
  <c r="AC220" i="1"/>
  <c r="AB220" i="1"/>
  <c r="Y220" i="1"/>
  <c r="X220" i="1"/>
  <c r="U220" i="1"/>
  <c r="T220" i="1"/>
  <c r="AC219" i="1"/>
  <c r="AB219" i="1"/>
  <c r="Y219" i="1"/>
  <c r="X219" i="1"/>
  <c r="U219" i="1"/>
  <c r="T219" i="1"/>
  <c r="AC218" i="1"/>
  <c r="AB218" i="1"/>
  <c r="Y218" i="1"/>
  <c r="X218" i="1"/>
  <c r="U218" i="1"/>
  <c r="T218" i="1"/>
  <c r="AC217" i="1"/>
  <c r="AB217" i="1"/>
  <c r="Y217" i="1"/>
  <c r="X217" i="1"/>
  <c r="U217" i="1"/>
  <c r="T217" i="1"/>
  <c r="AC216" i="1"/>
  <c r="AB216" i="1"/>
  <c r="Y216" i="1"/>
  <c r="X216" i="1"/>
  <c r="U216" i="1"/>
  <c r="T216" i="1"/>
  <c r="AC215" i="1"/>
  <c r="AB215" i="1"/>
  <c r="Y215" i="1"/>
  <c r="X215" i="1"/>
  <c r="T215" i="1"/>
  <c r="AC214" i="1"/>
  <c r="AB214" i="1"/>
  <c r="Y214" i="1"/>
  <c r="X214" i="1"/>
  <c r="U214" i="1"/>
  <c r="T214" i="1"/>
  <c r="AC213" i="1"/>
  <c r="AB213" i="1"/>
  <c r="Y213" i="1"/>
  <c r="X213" i="1"/>
  <c r="U213" i="1"/>
  <c r="T213" i="1"/>
  <c r="AC212" i="1"/>
  <c r="AB212" i="1"/>
  <c r="Y212" i="1"/>
  <c r="X212" i="1"/>
  <c r="U212" i="1"/>
  <c r="T212" i="1"/>
  <c r="AC211" i="1"/>
  <c r="AB211" i="1"/>
  <c r="Y211" i="1"/>
  <c r="X211" i="1"/>
  <c r="U211" i="1"/>
  <c r="T211" i="1"/>
  <c r="AC210" i="1"/>
  <c r="AB210" i="1"/>
  <c r="Y210" i="1"/>
  <c r="X210" i="1"/>
  <c r="U210" i="1"/>
  <c r="T210" i="1"/>
  <c r="AC209" i="1"/>
  <c r="AB209" i="1"/>
  <c r="Y209" i="1"/>
  <c r="X209" i="1"/>
  <c r="U209" i="1"/>
  <c r="T209" i="1"/>
  <c r="AC208" i="1"/>
  <c r="AB208" i="1"/>
  <c r="Y208" i="1"/>
  <c r="X208" i="1"/>
  <c r="U208" i="1"/>
  <c r="T208" i="1"/>
  <c r="AC207" i="1"/>
  <c r="AB207" i="1"/>
  <c r="U207" i="1"/>
  <c r="T207" i="1"/>
  <c r="AC206" i="1"/>
  <c r="AB206" i="1"/>
  <c r="Y206" i="1"/>
  <c r="X206" i="1"/>
  <c r="U206" i="1"/>
  <c r="T206" i="1"/>
  <c r="Y205" i="1"/>
  <c r="X205" i="1"/>
  <c r="T205" i="1"/>
  <c r="AC204" i="1"/>
  <c r="AB204" i="1"/>
  <c r="Y204" i="1"/>
  <c r="X204" i="1"/>
  <c r="U204" i="1"/>
  <c r="T204" i="1"/>
  <c r="AC203" i="1"/>
  <c r="AB203" i="1"/>
  <c r="Y203" i="1"/>
  <c r="X203" i="1"/>
  <c r="U203" i="1"/>
  <c r="T203" i="1"/>
  <c r="AC202" i="1"/>
  <c r="AB202" i="1"/>
  <c r="Y202" i="1"/>
  <c r="X202" i="1"/>
  <c r="U202" i="1"/>
  <c r="T202" i="1"/>
  <c r="AC201" i="1"/>
  <c r="AB201" i="1"/>
  <c r="Y201" i="1"/>
  <c r="X201" i="1"/>
  <c r="U201" i="1"/>
  <c r="T201" i="1"/>
  <c r="AC200" i="1"/>
  <c r="AB200" i="1"/>
  <c r="Y200" i="1"/>
  <c r="X200" i="1"/>
  <c r="U200" i="1"/>
  <c r="T200" i="1"/>
  <c r="AC199" i="1"/>
  <c r="AB199" i="1"/>
  <c r="Y199" i="1"/>
  <c r="X199" i="1"/>
  <c r="U199" i="1"/>
  <c r="T199" i="1"/>
  <c r="AC198" i="1"/>
  <c r="AB198" i="1"/>
  <c r="Y198" i="1"/>
  <c r="X198" i="1"/>
  <c r="U198" i="1"/>
  <c r="T198" i="1"/>
  <c r="AC197" i="1"/>
  <c r="AB197" i="1"/>
  <c r="Y197" i="1"/>
  <c r="X197" i="1"/>
  <c r="U197" i="1"/>
  <c r="T197" i="1"/>
  <c r="AC196" i="1"/>
  <c r="AB196" i="1"/>
  <c r="Y196" i="1"/>
  <c r="X196" i="1"/>
  <c r="U196" i="1"/>
  <c r="T196" i="1"/>
  <c r="AC195" i="1"/>
  <c r="AB195" i="1"/>
  <c r="Y195" i="1"/>
  <c r="X195" i="1"/>
  <c r="U195" i="1"/>
  <c r="T195" i="1"/>
  <c r="AC194" i="1"/>
  <c r="AB194" i="1"/>
  <c r="Y194" i="1"/>
  <c r="X194" i="1"/>
  <c r="U194" i="1"/>
  <c r="T194" i="1"/>
  <c r="AC193" i="1"/>
  <c r="AB193" i="1"/>
  <c r="Y193" i="1"/>
  <c r="X193" i="1"/>
  <c r="U193" i="1"/>
  <c r="T193" i="1"/>
  <c r="AC192" i="1"/>
  <c r="AB192" i="1"/>
  <c r="Y192" i="1"/>
  <c r="X192" i="1"/>
  <c r="U192" i="1"/>
  <c r="T192" i="1"/>
  <c r="AC191" i="1"/>
  <c r="AB191" i="1"/>
  <c r="Y191" i="1"/>
  <c r="X191" i="1"/>
  <c r="U191" i="1"/>
  <c r="T191" i="1"/>
  <c r="AC190" i="1"/>
  <c r="AB190" i="1"/>
  <c r="Y190" i="1"/>
  <c r="X190" i="1"/>
  <c r="U190" i="1"/>
  <c r="T190" i="1"/>
  <c r="AC189" i="1"/>
  <c r="AB189" i="1"/>
  <c r="Y189" i="1"/>
  <c r="X189" i="1"/>
  <c r="U189" i="1"/>
  <c r="T189" i="1"/>
  <c r="AC188" i="1"/>
  <c r="AB188" i="1"/>
  <c r="Y188" i="1"/>
  <c r="X188" i="1"/>
  <c r="U188" i="1"/>
  <c r="T188" i="1"/>
  <c r="Y187" i="1"/>
  <c r="X187" i="1"/>
  <c r="U187" i="1"/>
  <c r="T187" i="1"/>
  <c r="AC186" i="1"/>
  <c r="AB186" i="1"/>
  <c r="Y186" i="1"/>
  <c r="X186" i="1"/>
  <c r="U186" i="1"/>
  <c r="T186" i="1"/>
  <c r="AC185" i="1"/>
  <c r="AB185" i="1"/>
  <c r="Y185" i="1"/>
  <c r="X185" i="1"/>
  <c r="U185" i="1"/>
  <c r="T185" i="1"/>
  <c r="AC184" i="1"/>
  <c r="AB184" i="1"/>
  <c r="Y184" i="1"/>
  <c r="X184" i="1"/>
  <c r="U184" i="1"/>
  <c r="T184" i="1"/>
  <c r="AC183" i="1"/>
  <c r="AB183" i="1"/>
  <c r="Y183" i="1"/>
  <c r="X183" i="1"/>
  <c r="U183" i="1"/>
  <c r="T183" i="1"/>
  <c r="AC182" i="1"/>
  <c r="AB182" i="1"/>
  <c r="Y182" i="1"/>
  <c r="X182" i="1"/>
  <c r="U182" i="1"/>
  <c r="T182" i="1"/>
  <c r="AC181" i="1"/>
  <c r="AB181" i="1"/>
  <c r="Y181" i="1"/>
  <c r="X181" i="1"/>
  <c r="U181" i="1"/>
  <c r="T181" i="1"/>
  <c r="AC180" i="1"/>
  <c r="AB180" i="1"/>
  <c r="Y180" i="1"/>
  <c r="X180" i="1"/>
  <c r="U180" i="1"/>
  <c r="T180" i="1"/>
  <c r="AC179" i="1"/>
  <c r="AB179" i="1"/>
  <c r="Y179" i="1"/>
  <c r="X179" i="1"/>
  <c r="U179" i="1"/>
  <c r="T179" i="1"/>
  <c r="AC178" i="1"/>
  <c r="AB178" i="1"/>
  <c r="U178" i="1"/>
  <c r="T178" i="1"/>
  <c r="AC177" i="1"/>
  <c r="AB177" i="1"/>
  <c r="Y177" i="1"/>
  <c r="X177" i="1"/>
  <c r="U177" i="1"/>
  <c r="T177" i="1"/>
  <c r="AC176" i="1"/>
  <c r="AB176" i="1"/>
  <c r="Y176" i="1"/>
  <c r="X176" i="1"/>
  <c r="U176" i="1"/>
  <c r="T176" i="1"/>
  <c r="AC175" i="1"/>
  <c r="AB175" i="1"/>
  <c r="Y175" i="1"/>
  <c r="X175" i="1"/>
  <c r="U175" i="1"/>
  <c r="T175" i="1"/>
  <c r="AC174" i="1"/>
  <c r="AB174" i="1"/>
  <c r="Y174" i="1"/>
  <c r="X174" i="1"/>
  <c r="U174" i="1"/>
  <c r="T174" i="1"/>
  <c r="AC173" i="1"/>
  <c r="AB173" i="1"/>
  <c r="Y173" i="1"/>
  <c r="X173" i="1"/>
  <c r="U173" i="1"/>
  <c r="T173" i="1"/>
  <c r="AC172" i="1"/>
  <c r="AB172" i="1"/>
  <c r="Y172" i="1"/>
  <c r="X172" i="1"/>
  <c r="U172" i="1"/>
  <c r="T172" i="1"/>
  <c r="Y171" i="1"/>
  <c r="X171" i="1"/>
  <c r="U171" i="1"/>
  <c r="T171" i="1"/>
  <c r="AC170" i="1"/>
  <c r="AB170" i="1"/>
  <c r="Y170" i="1"/>
  <c r="X170" i="1"/>
  <c r="U170" i="1"/>
  <c r="T170" i="1"/>
  <c r="AC169" i="1"/>
  <c r="AB169" i="1"/>
  <c r="Y169" i="1"/>
  <c r="X169" i="1"/>
  <c r="U169" i="1"/>
  <c r="T169" i="1"/>
  <c r="AC168" i="1"/>
  <c r="AB168" i="1"/>
  <c r="Y168" i="1"/>
  <c r="X168" i="1"/>
  <c r="U168" i="1"/>
  <c r="T168" i="1"/>
  <c r="AC167" i="1"/>
  <c r="AB167" i="1"/>
  <c r="Y167" i="1"/>
  <c r="X167" i="1"/>
  <c r="U167" i="1"/>
  <c r="T167" i="1"/>
  <c r="AC166" i="1"/>
  <c r="AB166" i="1"/>
  <c r="Y166" i="1"/>
  <c r="X166" i="1"/>
  <c r="U166" i="1"/>
  <c r="T166" i="1"/>
  <c r="AC165" i="1"/>
  <c r="AB165" i="1"/>
  <c r="Y165" i="1"/>
  <c r="X165" i="1"/>
  <c r="U165" i="1"/>
  <c r="T165" i="1"/>
  <c r="AC164" i="1"/>
  <c r="AB164" i="1"/>
  <c r="Y164" i="1"/>
  <c r="X164" i="1"/>
  <c r="U164" i="1"/>
  <c r="T164" i="1"/>
  <c r="AC163" i="1"/>
  <c r="AB163" i="1"/>
  <c r="Y163" i="1"/>
  <c r="X163" i="1"/>
  <c r="U163" i="1"/>
  <c r="T163" i="1"/>
  <c r="AC162" i="1"/>
  <c r="AB162" i="1"/>
  <c r="Y162" i="1"/>
  <c r="X162" i="1"/>
  <c r="U162" i="1"/>
  <c r="T162" i="1"/>
  <c r="AC161" i="1"/>
  <c r="AB161" i="1"/>
  <c r="Y161" i="1"/>
  <c r="X161" i="1"/>
  <c r="U161" i="1"/>
  <c r="T161" i="1"/>
  <c r="AC160" i="1"/>
  <c r="AB160" i="1"/>
  <c r="U160" i="1"/>
  <c r="T160" i="1"/>
  <c r="AC159" i="1"/>
  <c r="AB159" i="1"/>
  <c r="U159" i="1"/>
  <c r="T159" i="1"/>
  <c r="AC158" i="1"/>
  <c r="AB158" i="1"/>
  <c r="Y158" i="1"/>
  <c r="X158" i="1"/>
  <c r="U158" i="1"/>
  <c r="T158" i="1"/>
  <c r="AC157" i="1"/>
  <c r="AB157" i="1"/>
  <c r="Y157" i="1"/>
  <c r="X157" i="1"/>
  <c r="U157" i="1"/>
  <c r="T157" i="1"/>
  <c r="AC156" i="1"/>
  <c r="AB156" i="1"/>
  <c r="Y156" i="1"/>
  <c r="X156" i="1"/>
  <c r="U156" i="1"/>
  <c r="T156" i="1"/>
  <c r="AC155" i="1"/>
  <c r="AB155" i="1"/>
  <c r="Y155" i="1"/>
  <c r="X155" i="1"/>
  <c r="U155" i="1"/>
  <c r="T155" i="1"/>
  <c r="AC154" i="1"/>
  <c r="AB154" i="1"/>
  <c r="Y154" i="1"/>
  <c r="X154" i="1"/>
  <c r="U154" i="1"/>
  <c r="T154" i="1"/>
  <c r="AC153" i="1"/>
  <c r="AB153" i="1"/>
  <c r="Y153" i="1"/>
  <c r="X153" i="1"/>
  <c r="U153" i="1"/>
  <c r="T153" i="1"/>
  <c r="AC152" i="1"/>
  <c r="AB152" i="1"/>
  <c r="Y152" i="1"/>
  <c r="X152" i="1"/>
  <c r="U152" i="1"/>
  <c r="T152" i="1"/>
  <c r="AC151" i="1"/>
  <c r="AB151" i="1"/>
  <c r="Y151" i="1"/>
  <c r="X151" i="1"/>
  <c r="U151" i="1"/>
  <c r="T151" i="1"/>
  <c r="AC150" i="1"/>
  <c r="AB150" i="1"/>
  <c r="Y150" i="1"/>
  <c r="X150" i="1"/>
  <c r="U150" i="1"/>
  <c r="T150" i="1"/>
  <c r="AC149" i="1"/>
  <c r="AB149" i="1"/>
  <c r="U149" i="1"/>
  <c r="T149" i="1"/>
  <c r="AC148" i="1"/>
  <c r="AB148" i="1"/>
  <c r="Y148" i="1"/>
  <c r="X148" i="1"/>
  <c r="U148" i="1"/>
  <c r="T148" i="1"/>
  <c r="AC147" i="1"/>
  <c r="AB147" i="1"/>
  <c r="Y147" i="1"/>
  <c r="X147" i="1"/>
  <c r="U147" i="1"/>
  <c r="T147" i="1"/>
  <c r="AC146" i="1"/>
  <c r="AB146" i="1"/>
  <c r="Y146" i="1"/>
  <c r="X146" i="1"/>
  <c r="U146" i="1"/>
  <c r="T146" i="1"/>
  <c r="AC145" i="1"/>
  <c r="AB145" i="1"/>
  <c r="Y145" i="1"/>
  <c r="X145" i="1"/>
  <c r="U145" i="1"/>
  <c r="T145" i="1"/>
  <c r="AC144" i="1"/>
  <c r="AB144" i="1"/>
  <c r="Y144" i="1"/>
  <c r="X144" i="1"/>
  <c r="U144" i="1"/>
  <c r="T144" i="1"/>
  <c r="AC143" i="1"/>
  <c r="AB143" i="1"/>
  <c r="Y143" i="1"/>
  <c r="X143" i="1"/>
  <c r="U143" i="1"/>
  <c r="T143" i="1"/>
  <c r="AC142" i="1"/>
  <c r="AB142" i="1"/>
  <c r="Y142" i="1"/>
  <c r="X142" i="1"/>
  <c r="U142" i="1"/>
  <c r="T142" i="1"/>
  <c r="N142" i="1"/>
  <c r="AC141" i="1"/>
  <c r="AB141" i="1"/>
  <c r="Y141" i="1"/>
  <c r="X141" i="1"/>
  <c r="U141" i="1"/>
  <c r="T141" i="1"/>
  <c r="N141" i="1"/>
  <c r="AC140" i="1"/>
  <c r="AB140" i="1"/>
  <c r="Y140" i="1"/>
  <c r="X140" i="1"/>
  <c r="U140" i="1"/>
  <c r="T140" i="1"/>
  <c r="N140" i="1"/>
  <c r="AC139" i="1"/>
  <c r="AB139" i="1"/>
  <c r="Y139" i="1"/>
  <c r="X139" i="1"/>
  <c r="U139" i="1"/>
  <c r="T139" i="1"/>
  <c r="N139" i="1"/>
  <c r="AC138" i="1"/>
  <c r="AB138" i="1"/>
  <c r="Y138" i="1"/>
  <c r="X138" i="1"/>
  <c r="U138" i="1"/>
  <c r="T138" i="1"/>
  <c r="N138" i="1"/>
  <c r="AC137" i="1"/>
  <c r="AB137" i="1"/>
  <c r="U137" i="1"/>
  <c r="T137" i="1"/>
  <c r="N137" i="1"/>
  <c r="AC136" i="1"/>
  <c r="AB136" i="1"/>
  <c r="Y136" i="1"/>
  <c r="X136" i="1"/>
  <c r="U136" i="1"/>
  <c r="T136" i="1"/>
  <c r="N136" i="1"/>
  <c r="AC135" i="1"/>
  <c r="AB135" i="1"/>
  <c r="Y135" i="1"/>
  <c r="X135" i="1"/>
  <c r="U135" i="1"/>
  <c r="T135" i="1"/>
  <c r="N135" i="1"/>
  <c r="AC134" i="1"/>
  <c r="AB134" i="1"/>
  <c r="Y134" i="1"/>
  <c r="X134" i="1"/>
  <c r="U134" i="1"/>
  <c r="T134" i="1"/>
  <c r="N134" i="1"/>
  <c r="AC133" i="1"/>
  <c r="AB133" i="1"/>
  <c r="Y133" i="1"/>
  <c r="X133" i="1"/>
  <c r="U133" i="1"/>
  <c r="T133" i="1"/>
  <c r="N133" i="1"/>
  <c r="Y132" i="1"/>
  <c r="X132" i="1"/>
  <c r="U132" i="1"/>
  <c r="T132" i="1"/>
  <c r="N132" i="1"/>
  <c r="AC131" i="1"/>
  <c r="AB131" i="1"/>
  <c r="Y131" i="1"/>
  <c r="X131" i="1"/>
  <c r="U131" i="1"/>
  <c r="T131" i="1"/>
  <c r="N131" i="1"/>
  <c r="AC130" i="1"/>
  <c r="AB130" i="1"/>
  <c r="Y130" i="1"/>
  <c r="X130" i="1"/>
  <c r="U130" i="1"/>
  <c r="T130" i="1"/>
  <c r="N130" i="1"/>
  <c r="AC129" i="1"/>
  <c r="AB129" i="1"/>
  <c r="Y129" i="1"/>
  <c r="X129" i="1"/>
  <c r="U129" i="1"/>
  <c r="T129" i="1"/>
  <c r="N129" i="1"/>
  <c r="AC128" i="1"/>
  <c r="AB128" i="1"/>
  <c r="Y128" i="1"/>
  <c r="X128" i="1"/>
  <c r="U128" i="1"/>
  <c r="T128" i="1"/>
  <c r="N128" i="1"/>
  <c r="AC127" i="1"/>
  <c r="AB127" i="1"/>
  <c r="Y127" i="1"/>
  <c r="X127" i="1"/>
  <c r="U127" i="1"/>
  <c r="T127" i="1"/>
  <c r="N127" i="1"/>
  <c r="AC126" i="1"/>
  <c r="AB126" i="1"/>
  <c r="Y126" i="1"/>
  <c r="X126" i="1"/>
  <c r="U126" i="1"/>
  <c r="T126" i="1"/>
  <c r="N126" i="1"/>
  <c r="AC125" i="1"/>
  <c r="AB125" i="1"/>
  <c r="Y125" i="1"/>
  <c r="X125" i="1"/>
  <c r="U125" i="1"/>
  <c r="T125" i="1"/>
  <c r="N125" i="1"/>
  <c r="AC124" i="1"/>
  <c r="AB124" i="1"/>
  <c r="Y124" i="1"/>
  <c r="X124" i="1"/>
  <c r="U124" i="1"/>
  <c r="T124" i="1"/>
  <c r="N124" i="1"/>
  <c r="AC123" i="1"/>
  <c r="AB123" i="1"/>
  <c r="Y123" i="1"/>
  <c r="X123" i="1"/>
  <c r="U123" i="1"/>
  <c r="T123" i="1"/>
  <c r="N123" i="1"/>
  <c r="AC122" i="1"/>
  <c r="AB122" i="1"/>
  <c r="Y122" i="1"/>
  <c r="X122" i="1"/>
  <c r="U122" i="1"/>
  <c r="T122" i="1"/>
  <c r="N122" i="1"/>
  <c r="AC121" i="1"/>
  <c r="AB121" i="1"/>
  <c r="Y121" i="1"/>
  <c r="X121" i="1"/>
  <c r="U121" i="1"/>
  <c r="T121" i="1"/>
  <c r="N121" i="1"/>
  <c r="AC120" i="1"/>
  <c r="AB120" i="1"/>
  <c r="Y120" i="1"/>
  <c r="X120" i="1"/>
  <c r="U120" i="1"/>
  <c r="T120" i="1"/>
  <c r="N120" i="1"/>
  <c r="AC119" i="1"/>
  <c r="AB119" i="1"/>
  <c r="Y119" i="1"/>
  <c r="X119" i="1"/>
  <c r="U119" i="1"/>
  <c r="T119" i="1"/>
  <c r="N119" i="1"/>
  <c r="AC118" i="1"/>
  <c r="AB118" i="1"/>
  <c r="Y118" i="1"/>
  <c r="X118" i="1"/>
  <c r="U118" i="1"/>
  <c r="T118" i="1"/>
  <c r="N118" i="1"/>
  <c r="AC117" i="1"/>
  <c r="AB117" i="1"/>
  <c r="Y117" i="1"/>
  <c r="X117" i="1"/>
  <c r="U117" i="1"/>
  <c r="T117" i="1"/>
  <c r="N117" i="1"/>
  <c r="AC116" i="1"/>
  <c r="AB116" i="1"/>
  <c r="Y116" i="1"/>
  <c r="X116" i="1"/>
  <c r="U116" i="1"/>
  <c r="T116" i="1"/>
  <c r="N116" i="1"/>
  <c r="AC115" i="1"/>
  <c r="AB115" i="1"/>
  <c r="Y115" i="1"/>
  <c r="X115" i="1"/>
  <c r="U115" i="1"/>
  <c r="T115" i="1"/>
  <c r="N115" i="1"/>
  <c r="AC114" i="1"/>
  <c r="AB114" i="1"/>
  <c r="Y114" i="1"/>
  <c r="X114" i="1"/>
  <c r="U114" i="1"/>
  <c r="T114" i="1"/>
  <c r="N114" i="1"/>
  <c r="AC113" i="1"/>
  <c r="AB113" i="1"/>
  <c r="Y113" i="1"/>
  <c r="X113" i="1"/>
  <c r="U113" i="1"/>
  <c r="T113" i="1"/>
  <c r="N113" i="1"/>
  <c r="AC112" i="1"/>
  <c r="AB112" i="1"/>
  <c r="Y112" i="1"/>
  <c r="X112" i="1"/>
  <c r="U112" i="1"/>
  <c r="T112" i="1"/>
  <c r="N112" i="1"/>
  <c r="AC111" i="1"/>
  <c r="AB111" i="1"/>
  <c r="Y111" i="1"/>
  <c r="X111" i="1"/>
  <c r="U111" i="1"/>
  <c r="T111" i="1"/>
  <c r="N111" i="1"/>
  <c r="AC110" i="1"/>
  <c r="AB110" i="1"/>
  <c r="Y110" i="1"/>
  <c r="X110" i="1"/>
  <c r="U110" i="1"/>
  <c r="T110" i="1"/>
  <c r="N110" i="1"/>
  <c r="AC109" i="1"/>
  <c r="AB109" i="1"/>
  <c r="Y109" i="1"/>
  <c r="X109" i="1"/>
  <c r="U109" i="1"/>
  <c r="T109" i="1"/>
  <c r="N109" i="1"/>
  <c r="AC108" i="1"/>
  <c r="AB108" i="1"/>
  <c r="Y108" i="1"/>
  <c r="X108" i="1"/>
  <c r="U108" i="1"/>
  <c r="T108" i="1"/>
  <c r="N108" i="1"/>
  <c r="AC107" i="1"/>
  <c r="AB107" i="1"/>
  <c r="Y107" i="1"/>
  <c r="X107" i="1"/>
  <c r="U107" i="1"/>
  <c r="T107" i="1"/>
  <c r="N107" i="1"/>
  <c r="AC106" i="1"/>
  <c r="AB106" i="1"/>
  <c r="Y106" i="1"/>
  <c r="X106" i="1"/>
  <c r="U106" i="1"/>
  <c r="T106" i="1"/>
  <c r="N106" i="1"/>
  <c r="AC105" i="1"/>
  <c r="AB105" i="1"/>
  <c r="Y105" i="1"/>
  <c r="X105" i="1"/>
  <c r="U105" i="1"/>
  <c r="T105" i="1"/>
  <c r="N105" i="1"/>
  <c r="AC104" i="1"/>
  <c r="AB104" i="1"/>
  <c r="U104" i="1"/>
  <c r="T104" i="1"/>
  <c r="N104" i="1"/>
  <c r="AC103" i="1"/>
  <c r="AB103" i="1"/>
  <c r="T103" i="1"/>
  <c r="N103" i="1"/>
  <c r="AC102" i="1"/>
  <c r="AB102" i="1"/>
  <c r="Y102" i="1"/>
  <c r="X102" i="1"/>
  <c r="U102" i="1"/>
  <c r="T102" i="1"/>
  <c r="N102" i="1"/>
  <c r="AC101" i="1"/>
  <c r="AB101" i="1"/>
  <c r="Y101" i="1"/>
  <c r="X101" i="1"/>
  <c r="U101" i="1"/>
  <c r="T101" i="1"/>
  <c r="N101" i="1"/>
  <c r="AC100" i="1"/>
  <c r="AB100" i="1"/>
  <c r="Y100" i="1"/>
  <c r="X100" i="1"/>
  <c r="U100" i="1"/>
  <c r="T100" i="1"/>
  <c r="N100" i="1"/>
  <c r="AC99" i="1"/>
  <c r="AB99" i="1"/>
  <c r="Y99" i="1"/>
  <c r="X99" i="1"/>
  <c r="U99" i="1"/>
  <c r="T99" i="1"/>
  <c r="N99" i="1"/>
  <c r="AC98" i="1"/>
  <c r="AB98" i="1"/>
  <c r="Y98" i="1"/>
  <c r="X98" i="1"/>
  <c r="U98" i="1"/>
  <c r="T98" i="1"/>
  <c r="N98" i="1"/>
  <c r="AC97" i="1"/>
  <c r="AB97" i="1"/>
  <c r="Y97" i="1"/>
  <c r="X97" i="1"/>
  <c r="U97" i="1"/>
  <c r="T97" i="1"/>
  <c r="N97" i="1"/>
  <c r="AC96" i="1"/>
  <c r="AB96" i="1"/>
  <c r="Y96" i="1"/>
  <c r="X96" i="1"/>
  <c r="U96" i="1"/>
  <c r="T96" i="1"/>
  <c r="N96" i="1"/>
  <c r="AC95" i="1"/>
  <c r="AB95" i="1"/>
  <c r="Y95" i="1"/>
  <c r="X95" i="1"/>
  <c r="U95" i="1"/>
  <c r="T95" i="1"/>
  <c r="N95" i="1"/>
  <c r="AC94" i="1"/>
  <c r="AB94" i="1"/>
  <c r="U94" i="1"/>
  <c r="T94" i="1"/>
  <c r="N94" i="1"/>
  <c r="AC93" i="1"/>
  <c r="AB93" i="1"/>
  <c r="Y93" i="1"/>
  <c r="X93" i="1"/>
  <c r="U93" i="1"/>
  <c r="T93" i="1"/>
  <c r="N93" i="1"/>
  <c r="AC92" i="1"/>
  <c r="AB92" i="1"/>
  <c r="Y92" i="1"/>
  <c r="X92" i="1"/>
  <c r="U92" i="1"/>
  <c r="T92" i="1"/>
  <c r="N92" i="1"/>
  <c r="Y91" i="1"/>
  <c r="X91" i="1"/>
  <c r="U91" i="1"/>
  <c r="T91" i="1"/>
  <c r="N91" i="1"/>
  <c r="AC90" i="1"/>
  <c r="AB90" i="1"/>
  <c r="Y90" i="1"/>
  <c r="X90" i="1"/>
  <c r="U90" i="1"/>
  <c r="T90" i="1"/>
  <c r="N90" i="1"/>
  <c r="AC89" i="1"/>
  <c r="AB89" i="1"/>
  <c r="Y89" i="1"/>
  <c r="X89" i="1"/>
  <c r="U89" i="1"/>
  <c r="T89" i="1"/>
  <c r="N89" i="1"/>
  <c r="AC88" i="1"/>
  <c r="AB88" i="1"/>
  <c r="Y88" i="1"/>
  <c r="X88" i="1"/>
  <c r="U88" i="1"/>
  <c r="T88" i="1"/>
  <c r="N88" i="1"/>
  <c r="AC87" i="1"/>
  <c r="AB87" i="1"/>
  <c r="Y87" i="1"/>
  <c r="X87" i="1"/>
  <c r="U87" i="1"/>
  <c r="T87" i="1"/>
  <c r="N87" i="1"/>
  <c r="AC86" i="1"/>
  <c r="AB86" i="1"/>
  <c r="Y86" i="1"/>
  <c r="X86" i="1"/>
  <c r="U86" i="1"/>
  <c r="T86" i="1"/>
  <c r="N86" i="1"/>
  <c r="AC85" i="1"/>
  <c r="AB85" i="1"/>
  <c r="Y85" i="1"/>
  <c r="X85" i="1"/>
  <c r="T85" i="1"/>
  <c r="N85" i="1"/>
  <c r="AC84" i="1"/>
  <c r="AB84" i="1"/>
  <c r="Y84" i="1"/>
  <c r="X84" i="1"/>
  <c r="U84" i="1"/>
  <c r="T84" i="1"/>
  <c r="N84" i="1"/>
  <c r="AC83" i="1"/>
  <c r="AB83" i="1"/>
  <c r="Y83" i="1"/>
  <c r="X83" i="1"/>
  <c r="U83" i="1"/>
  <c r="T83" i="1"/>
  <c r="N83" i="1"/>
  <c r="AC82" i="1"/>
  <c r="AB82" i="1"/>
  <c r="Y82" i="1"/>
  <c r="X82" i="1"/>
  <c r="U82" i="1"/>
  <c r="T82" i="1"/>
  <c r="N82" i="1"/>
  <c r="AC81" i="1"/>
  <c r="AB81" i="1"/>
  <c r="Y81" i="1"/>
  <c r="X81" i="1"/>
  <c r="U81" i="1"/>
  <c r="T81" i="1"/>
  <c r="N81" i="1"/>
  <c r="AC80" i="1"/>
  <c r="AB80" i="1"/>
  <c r="Y80" i="1"/>
  <c r="X80" i="1"/>
  <c r="U80" i="1"/>
  <c r="T80" i="1"/>
  <c r="N80" i="1"/>
  <c r="AC79" i="1"/>
  <c r="AB79" i="1"/>
  <c r="Y79" i="1"/>
  <c r="X79" i="1"/>
  <c r="U79" i="1"/>
  <c r="T79" i="1"/>
  <c r="N79" i="1"/>
  <c r="AC78" i="1"/>
  <c r="AB78" i="1"/>
  <c r="Y78" i="1"/>
  <c r="X78" i="1"/>
  <c r="U78" i="1"/>
  <c r="T78" i="1"/>
  <c r="N78" i="1"/>
  <c r="AC77" i="1"/>
  <c r="AB77" i="1"/>
  <c r="Y77" i="1"/>
  <c r="X77" i="1"/>
  <c r="U77" i="1"/>
  <c r="T77" i="1"/>
  <c r="N77" i="1"/>
  <c r="AC76" i="1"/>
  <c r="AB76" i="1"/>
  <c r="Y76" i="1"/>
  <c r="X76" i="1"/>
  <c r="U76" i="1"/>
  <c r="T76" i="1"/>
  <c r="N76" i="1"/>
  <c r="AC75" i="1"/>
  <c r="AB75" i="1"/>
  <c r="Y75" i="1"/>
  <c r="X75" i="1"/>
  <c r="U75" i="1"/>
  <c r="T75" i="1"/>
  <c r="N75" i="1"/>
  <c r="AC74" i="1"/>
  <c r="AB74" i="1"/>
  <c r="Y74" i="1"/>
  <c r="X74" i="1"/>
  <c r="U74" i="1"/>
  <c r="T74" i="1"/>
  <c r="N74" i="1"/>
  <c r="AC73" i="1"/>
  <c r="AB73" i="1"/>
  <c r="Y73" i="1"/>
  <c r="X73" i="1"/>
  <c r="U73" i="1"/>
  <c r="T73" i="1"/>
  <c r="N73" i="1"/>
  <c r="AC72" i="1"/>
  <c r="AB72" i="1"/>
  <c r="U72" i="1"/>
  <c r="T72" i="1"/>
  <c r="N72" i="1"/>
  <c r="U71" i="1"/>
  <c r="T71" i="1"/>
  <c r="N71" i="1"/>
  <c r="AC70" i="1"/>
  <c r="AB70" i="1"/>
  <c r="Y70" i="1"/>
  <c r="X70" i="1"/>
  <c r="U70" i="1"/>
  <c r="T70" i="1"/>
  <c r="N70" i="1"/>
  <c r="AC69" i="1"/>
  <c r="AB69" i="1"/>
  <c r="U69" i="1"/>
  <c r="T69" i="1"/>
  <c r="N69" i="1"/>
  <c r="AC68" i="1"/>
  <c r="AB68" i="1"/>
  <c r="Y68" i="1"/>
  <c r="X68" i="1"/>
  <c r="U68" i="1"/>
  <c r="T68" i="1"/>
  <c r="N68" i="1"/>
  <c r="AC67" i="1"/>
  <c r="AB67" i="1"/>
  <c r="Y67" i="1"/>
  <c r="X67" i="1"/>
  <c r="U67" i="1"/>
  <c r="T67" i="1"/>
  <c r="N67" i="1"/>
  <c r="AC66" i="1"/>
  <c r="AB66" i="1"/>
  <c r="Y66" i="1"/>
  <c r="X66" i="1"/>
  <c r="U66" i="1"/>
  <c r="T66" i="1"/>
  <c r="N66" i="1"/>
  <c r="AC65" i="1"/>
  <c r="AB65" i="1"/>
  <c r="Y65" i="1"/>
  <c r="X65" i="1"/>
  <c r="U65" i="1"/>
  <c r="T65" i="1"/>
  <c r="N65" i="1"/>
  <c r="AC64" i="1"/>
  <c r="AB64" i="1"/>
  <c r="Y64" i="1"/>
  <c r="X64" i="1"/>
  <c r="U64" i="1"/>
  <c r="T64" i="1"/>
  <c r="N64" i="1"/>
  <c r="Y63" i="1"/>
  <c r="X63" i="1"/>
  <c r="U63" i="1"/>
  <c r="T63" i="1"/>
  <c r="N63" i="1"/>
  <c r="Y62" i="1"/>
  <c r="X62" i="1"/>
  <c r="U62" i="1"/>
  <c r="T62" i="1"/>
  <c r="N62" i="1"/>
  <c r="AC61" i="1"/>
  <c r="AB61" i="1"/>
  <c r="Y61" i="1"/>
  <c r="X61" i="1"/>
  <c r="U61" i="1"/>
  <c r="T61" i="1"/>
  <c r="N61" i="1"/>
  <c r="AC60" i="1"/>
  <c r="AB60" i="1"/>
  <c r="Y60" i="1"/>
  <c r="X60" i="1"/>
  <c r="U60" i="1"/>
  <c r="T60" i="1"/>
  <c r="N60" i="1"/>
  <c r="AC59" i="1"/>
  <c r="AB59" i="1"/>
  <c r="Y59" i="1"/>
  <c r="X59" i="1"/>
  <c r="U59" i="1"/>
  <c r="T59" i="1"/>
  <c r="N59" i="1"/>
  <c r="AC58" i="1"/>
  <c r="AB58" i="1"/>
  <c r="Y58" i="1"/>
  <c r="X58" i="1"/>
  <c r="U58" i="1"/>
  <c r="T58" i="1"/>
  <c r="N58" i="1"/>
  <c r="AC57" i="1"/>
  <c r="AB57" i="1"/>
  <c r="Y57" i="1"/>
  <c r="X57" i="1"/>
  <c r="U57" i="1"/>
  <c r="T57" i="1"/>
  <c r="N57" i="1"/>
  <c r="AC56" i="1"/>
  <c r="AB56" i="1"/>
  <c r="Y56" i="1"/>
  <c r="X56" i="1"/>
  <c r="U56" i="1"/>
  <c r="T56" i="1"/>
  <c r="N56" i="1"/>
  <c r="AC55" i="1"/>
  <c r="AB55" i="1"/>
  <c r="Y55" i="1"/>
  <c r="X55" i="1"/>
  <c r="U55" i="1"/>
  <c r="T55" i="1"/>
  <c r="N55" i="1"/>
  <c r="AC54" i="1"/>
  <c r="AB54" i="1"/>
  <c r="Y54" i="1"/>
  <c r="X54" i="1"/>
  <c r="U54" i="1"/>
  <c r="T54" i="1"/>
  <c r="N54" i="1"/>
  <c r="AC53" i="1"/>
  <c r="AB53" i="1"/>
  <c r="Y53" i="1"/>
  <c r="X53" i="1"/>
  <c r="U53" i="1"/>
  <c r="T53" i="1"/>
  <c r="N53" i="1"/>
  <c r="AC52" i="1"/>
  <c r="AB52" i="1"/>
  <c r="Y52" i="1"/>
  <c r="X52" i="1"/>
  <c r="U52" i="1"/>
  <c r="T52" i="1"/>
  <c r="N52" i="1"/>
  <c r="AC51" i="1"/>
  <c r="AB51" i="1"/>
  <c r="Y51" i="1"/>
  <c r="X51" i="1"/>
  <c r="U51" i="1"/>
  <c r="T51" i="1"/>
  <c r="N51" i="1"/>
  <c r="AC50" i="1"/>
  <c r="AB50" i="1"/>
  <c r="Y50" i="1"/>
  <c r="X50" i="1"/>
  <c r="U50" i="1"/>
  <c r="T50" i="1"/>
  <c r="N50" i="1"/>
  <c r="AC49" i="1"/>
  <c r="AB49" i="1"/>
  <c r="Y49" i="1"/>
  <c r="X49" i="1"/>
  <c r="U49" i="1"/>
  <c r="T49" i="1"/>
  <c r="N49" i="1"/>
  <c r="AC48" i="1"/>
  <c r="AB48" i="1"/>
  <c r="Y48" i="1"/>
  <c r="X48" i="1"/>
  <c r="U48" i="1"/>
  <c r="T48" i="1"/>
  <c r="N48" i="1"/>
  <c r="AC47" i="1"/>
  <c r="AB47" i="1"/>
  <c r="Y47" i="1"/>
  <c r="X47" i="1"/>
  <c r="U47" i="1"/>
  <c r="T47" i="1"/>
  <c r="N47" i="1"/>
  <c r="AC46" i="1"/>
  <c r="AB46" i="1"/>
  <c r="Y46" i="1"/>
  <c r="X46" i="1"/>
  <c r="U46" i="1"/>
  <c r="T46" i="1"/>
  <c r="N46" i="1"/>
  <c r="AC45" i="1"/>
  <c r="AB45" i="1"/>
  <c r="Y45" i="1"/>
  <c r="X45" i="1"/>
  <c r="U45" i="1"/>
  <c r="T45" i="1"/>
  <c r="N45" i="1"/>
  <c r="Y44" i="1"/>
  <c r="X44" i="1"/>
  <c r="U44" i="1"/>
  <c r="T44" i="1"/>
  <c r="N44" i="1"/>
  <c r="AC43" i="1"/>
  <c r="AB43" i="1"/>
  <c r="Y43" i="1"/>
  <c r="X43" i="1"/>
  <c r="U43" i="1"/>
  <c r="T43" i="1"/>
  <c r="N43" i="1"/>
  <c r="AC42" i="1"/>
  <c r="AB42" i="1"/>
  <c r="Y42" i="1"/>
  <c r="X42" i="1"/>
  <c r="U42" i="1"/>
  <c r="T42" i="1"/>
  <c r="N42" i="1"/>
  <c r="AC41" i="1"/>
  <c r="AB41" i="1"/>
  <c r="Y41" i="1"/>
  <c r="X41" i="1"/>
  <c r="U41" i="1"/>
  <c r="T41" i="1"/>
  <c r="N41" i="1"/>
  <c r="AC40" i="1"/>
  <c r="AB40" i="1"/>
  <c r="Y40" i="1"/>
  <c r="X40" i="1"/>
  <c r="U40" i="1"/>
  <c r="T40" i="1"/>
  <c r="N40" i="1"/>
  <c r="AC39" i="1"/>
  <c r="AB39" i="1"/>
  <c r="Y39" i="1"/>
  <c r="X39" i="1"/>
  <c r="U39" i="1"/>
  <c r="T39" i="1"/>
  <c r="N39" i="1"/>
  <c r="AC38" i="1"/>
  <c r="AB38" i="1"/>
  <c r="Y38" i="1"/>
  <c r="X38" i="1"/>
  <c r="U38" i="1"/>
  <c r="T38" i="1"/>
  <c r="N38" i="1"/>
  <c r="AC37" i="1"/>
  <c r="AB37" i="1"/>
  <c r="Y37" i="1"/>
  <c r="X37" i="1"/>
  <c r="U37" i="1"/>
  <c r="T37" i="1"/>
  <c r="N37" i="1"/>
  <c r="AC36" i="1"/>
  <c r="AB36" i="1"/>
  <c r="Y36" i="1"/>
  <c r="X36" i="1"/>
  <c r="U36" i="1"/>
  <c r="T36" i="1"/>
  <c r="N36" i="1"/>
  <c r="AC35" i="1"/>
  <c r="AB35" i="1"/>
  <c r="Y35" i="1"/>
  <c r="X35" i="1"/>
  <c r="U35" i="1"/>
  <c r="T35" i="1"/>
  <c r="N35" i="1"/>
  <c r="AC34" i="1"/>
  <c r="AB34" i="1"/>
  <c r="Y34" i="1"/>
  <c r="X34" i="1"/>
  <c r="U34" i="1"/>
  <c r="T34" i="1"/>
  <c r="N34" i="1"/>
  <c r="AC33" i="1"/>
  <c r="AB33" i="1"/>
  <c r="Y33" i="1"/>
  <c r="X33" i="1"/>
  <c r="U33" i="1"/>
  <c r="T33" i="1"/>
  <c r="N33" i="1"/>
  <c r="AC32" i="1"/>
  <c r="AB32" i="1"/>
  <c r="Y32" i="1"/>
  <c r="X32" i="1"/>
  <c r="U32" i="1"/>
  <c r="T32" i="1"/>
  <c r="N32" i="1"/>
  <c r="AC31" i="1"/>
  <c r="AB31" i="1"/>
  <c r="Y31" i="1"/>
  <c r="X31" i="1"/>
  <c r="U31" i="1"/>
  <c r="T31" i="1"/>
  <c r="N31" i="1"/>
  <c r="AC30" i="1"/>
  <c r="AB30" i="1"/>
  <c r="Y30" i="1"/>
  <c r="X30" i="1"/>
  <c r="U30" i="1"/>
  <c r="T30" i="1"/>
  <c r="N30" i="1"/>
  <c r="AC29" i="1"/>
  <c r="AB29" i="1"/>
  <c r="Y29" i="1"/>
  <c r="X29" i="1"/>
  <c r="U29" i="1"/>
  <c r="T29" i="1"/>
  <c r="N29" i="1"/>
  <c r="AC28" i="1"/>
  <c r="AB28" i="1"/>
  <c r="Y28" i="1"/>
  <c r="X28" i="1"/>
  <c r="U28" i="1"/>
  <c r="T28" i="1"/>
  <c r="N28" i="1"/>
  <c r="AC27" i="1"/>
  <c r="AB27" i="1"/>
  <c r="Y27" i="1"/>
  <c r="X27" i="1"/>
  <c r="U27" i="1"/>
  <c r="T27" i="1"/>
  <c r="N27" i="1"/>
  <c r="AC26" i="1"/>
  <c r="AB26" i="1"/>
  <c r="U26" i="1"/>
  <c r="T26" i="1"/>
  <c r="N26" i="1"/>
  <c r="AC25" i="1"/>
  <c r="AB25" i="1"/>
  <c r="Y25" i="1"/>
  <c r="X25" i="1"/>
  <c r="U25" i="1"/>
  <c r="T25" i="1"/>
  <c r="N25" i="1"/>
  <c r="AC24" i="1"/>
  <c r="AB24" i="1"/>
  <c r="Y24" i="1"/>
  <c r="X24" i="1"/>
  <c r="U24" i="1"/>
  <c r="T24" i="1"/>
  <c r="N24" i="1"/>
  <c r="AC23" i="1"/>
  <c r="AB23" i="1"/>
  <c r="Y23" i="1"/>
  <c r="X23" i="1"/>
  <c r="U23" i="1"/>
  <c r="T23" i="1"/>
  <c r="N23" i="1"/>
  <c r="AC22" i="1"/>
  <c r="AB22" i="1"/>
  <c r="Y22" i="1"/>
  <c r="X22" i="1"/>
  <c r="U22" i="1"/>
  <c r="T22" i="1"/>
  <c r="N22" i="1"/>
  <c r="AC21" i="1"/>
  <c r="AB21" i="1"/>
  <c r="Y21" i="1"/>
  <c r="X21" i="1"/>
  <c r="U21" i="1"/>
  <c r="T21" i="1"/>
  <c r="N21" i="1"/>
  <c r="AC20" i="1"/>
  <c r="AB20" i="1"/>
  <c r="U20" i="1"/>
  <c r="T20" i="1"/>
  <c r="N20" i="1"/>
  <c r="AC19" i="1"/>
  <c r="AB19" i="1"/>
  <c r="Y19" i="1"/>
  <c r="X19" i="1"/>
  <c r="U19" i="1"/>
  <c r="T19" i="1"/>
  <c r="N19" i="1"/>
  <c r="AC18" i="1"/>
  <c r="AB18" i="1"/>
  <c r="Y18" i="1"/>
  <c r="X18" i="1"/>
  <c r="U18" i="1"/>
  <c r="T18" i="1"/>
  <c r="N18" i="1"/>
  <c r="AC17" i="1"/>
  <c r="AB17" i="1"/>
  <c r="Y17" i="1"/>
  <c r="X17" i="1"/>
  <c r="U17" i="1"/>
  <c r="T17" i="1"/>
  <c r="N17" i="1"/>
  <c r="AC16" i="1"/>
  <c r="AB16" i="1"/>
  <c r="Y16" i="1"/>
  <c r="X16" i="1"/>
  <c r="U16" i="1"/>
  <c r="T16" i="1"/>
  <c r="N16" i="1"/>
  <c r="AC15" i="1"/>
  <c r="AB15" i="1"/>
  <c r="Y15" i="1"/>
  <c r="X15" i="1"/>
  <c r="U15" i="1"/>
  <c r="T15" i="1"/>
  <c r="N15" i="1"/>
  <c r="AC14" i="1"/>
  <c r="AB14" i="1"/>
  <c r="Y14" i="1"/>
  <c r="X14" i="1"/>
  <c r="U14" i="1"/>
  <c r="T14" i="1"/>
  <c r="N14" i="1"/>
  <c r="AC13" i="1"/>
  <c r="AB13" i="1"/>
  <c r="Y13" i="1"/>
  <c r="X13" i="1"/>
  <c r="U13" i="1"/>
  <c r="T13" i="1"/>
  <c r="N13" i="1"/>
  <c r="AC12" i="1"/>
  <c r="AB12" i="1"/>
  <c r="Y12" i="1"/>
  <c r="X12" i="1"/>
  <c r="U12" i="1"/>
  <c r="T12" i="1"/>
  <c r="N12" i="1"/>
  <c r="AC11" i="1"/>
  <c r="AB11" i="1"/>
  <c r="Y11" i="1"/>
  <c r="X11" i="1"/>
  <c r="U11" i="1"/>
  <c r="T11" i="1"/>
  <c r="N11" i="1"/>
  <c r="Y10" i="1"/>
  <c r="X10" i="1"/>
  <c r="U10" i="1"/>
  <c r="T10" i="1"/>
  <c r="N10" i="1"/>
  <c r="AC9" i="1"/>
  <c r="AB9" i="1"/>
  <c r="Y9" i="1"/>
  <c r="X9" i="1"/>
  <c r="U9" i="1"/>
  <c r="T9" i="1"/>
  <c r="N9" i="1"/>
  <c r="AC8" i="1"/>
  <c r="AB8" i="1"/>
  <c r="U8" i="1"/>
  <c r="T8" i="1"/>
  <c r="N8" i="1"/>
  <c r="AC7" i="1"/>
  <c r="AB7" i="1"/>
  <c r="Y7" i="1"/>
  <c r="X7" i="1"/>
  <c r="U7" i="1"/>
  <c r="T7" i="1"/>
  <c r="N7" i="1"/>
  <c r="AC6" i="1"/>
  <c r="AB6" i="1"/>
  <c r="Y6" i="1"/>
  <c r="X6" i="1"/>
  <c r="U6" i="1"/>
  <c r="T6" i="1"/>
  <c r="N6" i="1"/>
  <c r="AC5" i="1"/>
  <c r="AB5" i="1"/>
  <c r="Y5" i="1"/>
  <c r="X5" i="1"/>
  <c r="U5" i="1"/>
  <c r="T5" i="1"/>
  <c r="N5" i="1"/>
  <c r="AC4" i="1"/>
  <c r="AB4" i="1"/>
  <c r="Y4" i="1"/>
  <c r="X4" i="1"/>
  <c r="U4" i="1"/>
  <c r="T4" i="1"/>
  <c r="N4" i="1"/>
  <c r="AC3" i="1"/>
  <c r="AB3" i="1"/>
  <c r="Y3" i="1"/>
  <c r="X3" i="1"/>
  <c r="U3" i="1"/>
  <c r="T3" i="1"/>
  <c r="N3" i="1"/>
  <c r="AC2" i="1"/>
  <c r="AB2" i="1"/>
  <c r="Y2" i="1"/>
  <c r="X2" i="1"/>
  <c r="U2" i="1"/>
  <c r="T2" i="1"/>
  <c r="N2" i="1"/>
</calcChain>
</file>

<file path=xl/sharedStrings.xml><?xml version="1.0" encoding="utf-8"?>
<sst xmlns="http://schemas.openxmlformats.org/spreadsheetml/2006/main" count="4323" uniqueCount="2263">
  <si>
    <t>date</t>
  </si>
  <si>
    <t>weekday</t>
  </si>
  <si>
    <t>match_string</t>
  </si>
  <si>
    <t>is_work_day</t>
  </si>
  <si>
    <t>has_meeting</t>
  </si>
  <si>
    <t>correct</t>
  </si>
  <si>
    <t>with_next</t>
  </si>
  <si>
    <t>reason</t>
  </si>
  <si>
    <t>id</t>
  </si>
  <si>
    <t>inventory_num</t>
  </si>
  <si>
    <t>scan_num</t>
  </si>
  <si>
    <t>start_x</t>
  </si>
  <si>
    <t>start_y</t>
  </si>
  <si>
    <t>calculated_page_num</t>
  </si>
  <si>
    <t>page_num</t>
  </si>
  <si>
    <t>column_index</t>
  </si>
  <si>
    <t>textregion_index</t>
  </si>
  <si>
    <t>line_index</t>
  </si>
  <si>
    <t>meeting_status</t>
  </si>
  <si>
    <t>viewer_url</t>
  </si>
  <si>
    <t>iiif_url</t>
  </si>
  <si>
    <t>prev_meeting_status</t>
  </si>
  <si>
    <t>prev_meeting_match_string</t>
  </si>
  <si>
    <t>prev_meeting_viewer_url</t>
  </si>
  <si>
    <t>prev_meeting_iiif_url</t>
  </si>
  <si>
    <t>next_meeting_status</t>
  </si>
  <si>
    <t>next_meeting_match_string</t>
  </si>
  <si>
    <t>next_meeting_viewer_url</t>
  </si>
  <si>
    <t>next_meeting_iiif_url</t>
  </si>
  <si>
    <t>1760-05-13</t>
  </si>
  <si>
    <t>Martis</t>
  </si>
  <si>
    <t>Martis den 13 Mey</t>
  </si>
  <si>
    <t>NL-HaNA_3815_0238-page-475-col-0-tr-1-line-0</t>
  </si>
  <si>
    <t>normal</t>
  </si>
  <si>
    <t>Fune den 12 Mey</t>
  </si>
  <si>
    <t>Mercurii den 14 Mey</t>
  </si>
  <si>
    <t>1796-01-08</t>
  </si>
  <si>
    <t>Veneris</t>
  </si>
  <si>
    <t>Pencris den 8 Tanuary</t>
  </si>
  <si>
    <t>NL-HaNA_3864_0106-page-210-col-0-tr-1-line-0</t>
  </si>
  <si>
    <t>Sovis den 7 Fanuary</t>
  </si>
  <si>
    <t>Luna den 11 January</t>
  </si>
  <si>
    <t>1778-04-03</t>
  </si>
  <si>
    <t>with_prev</t>
  </si>
  <si>
    <t>multi_day</t>
  </si>
  <si>
    <t>Jovi den 2 April</t>
  </si>
  <si>
    <t>Lune den 6 April</t>
  </si>
  <si>
    <t>1728-07-19</t>
  </si>
  <si>
    <t>Lunae</t>
  </si>
  <si>
    <t>Lane den 19. Juli</t>
  </si>
  <si>
    <t>NL-HaNA_3783_0331-page-661-col-2-tr-1-line-0</t>
  </si>
  <si>
    <t>Sabbathi den 17. Jul</t>
  </si>
  <si>
    <t>Martis den 20, Jul</t>
  </si>
  <si>
    <t>1791-07-08</t>
  </si>
  <si>
    <t>Veneris den 8 Jaly</t>
  </si>
  <si>
    <t>NL-HaNA_3855_0010-page-19-col-1-tr-1-line-0</t>
  </si>
  <si>
    <t>Jovis den 7 July</t>
  </si>
  <si>
    <t>Lune don 11 jaly</t>
  </si>
  <si>
    <t>1779-05-15</t>
  </si>
  <si>
    <t>Sabbathi</t>
  </si>
  <si>
    <t>Veneris den 14 Mey</t>
  </si>
  <si>
    <t>Luna den 17 Mey</t>
  </si>
  <si>
    <t>1733-12-20</t>
  </si>
  <si>
    <t>Dominica</t>
  </si>
  <si>
    <t>Lane den 21, December</t>
  </si>
  <si>
    <t>1769-12-05</t>
  </si>
  <si>
    <t>Martis den 5 December</t>
  </si>
  <si>
    <t>NL-HaNA_3824_0521-page-1041-col-1-tr-0-line-14</t>
  </si>
  <si>
    <t>Lune den 4 December</t>
  </si>
  <si>
    <t>Mercurii den 6 December</t>
  </si>
  <si>
    <t>1730-12-31</t>
  </si>
  <si>
    <t>last_year_rest_day</t>
  </si>
  <si>
    <t>Sabbathi den 30.. Decemb</t>
  </si>
  <si>
    <t>1731-11-09</t>
  </si>
  <si>
    <t>Veneris den 9. Novembe</t>
  </si>
  <si>
    <t>NL-HaNA_3786_0355-page-708-col-1-tr-1-line-0</t>
  </si>
  <si>
    <t>Jovis den 8, Novembe</t>
  </si>
  <si>
    <t>Sabbathi den to. Novembe</t>
  </si>
  <si>
    <t>1748-06-12</t>
  </si>
  <si>
    <t>Mercurii</t>
  </si>
  <si>
    <t>Mercurii den 12 any</t>
  </si>
  <si>
    <t>NL-HaNA_3803_0268-page-534-col-1-tr-2-line-2</t>
  </si>
  <si>
    <t>Martis den 11 Jany</t>
  </si>
  <si>
    <t>Jovis den 13 TFuny</t>
  </si>
  <si>
    <t>1770-09-13</t>
  </si>
  <si>
    <t>Jovis</t>
  </si>
  <si>
    <t>Jovis den 13 September</t>
  </si>
  <si>
    <t>NL-HaNA_3825_0421-page-841-col-1-tr-1-line-0</t>
  </si>
  <si>
    <t>Mercurii den 12 September</t>
  </si>
  <si>
    <t>Veneris den 14 September</t>
  </si>
  <si>
    <t>1780-07-05</t>
  </si>
  <si>
    <t>Mercurii den 5 July</t>
  </si>
  <si>
    <t>NL-HaNA_3835_0385-page-769-col-1-tr-1-line-0</t>
  </si>
  <si>
    <t>Jovis den 6 TFal</t>
  </si>
  <si>
    <t>1791-03-24</t>
  </si>
  <si>
    <t>Tovis,.den 24 Maar</t>
  </si>
  <si>
    <t>NL-HaNA_3854_0194-page-387-col-1-tr-1-line-0</t>
  </si>
  <si>
    <t>Mercuri den 23 Maart</t>
  </si>
  <si>
    <t>Veneris den 25 Maart</t>
  </si>
  <si>
    <t>1731-02-08</t>
  </si>
  <si>
    <t>Jovis den 8. Februari</t>
  </si>
  <si>
    <t>NL-HaNA_3786_0080-page-159-col-1-tr-1-line-0</t>
  </si>
  <si>
    <t>Mercurii den 7. Februari</t>
  </si>
  <si>
    <t>Veneris den 9. Februari</t>
  </si>
  <si>
    <t>1767-05-08</t>
  </si>
  <si>
    <t>Veneris den 8 Mey</t>
  </si>
  <si>
    <t>NL-HaNA_3822_0219-page-437-col-0-tr-0-line-14</t>
  </si>
  <si>
    <t>Jovis den 7 Mey</t>
  </si>
  <si>
    <t>Sabbathi den o Mey</t>
  </si>
  <si>
    <t>1717-08-20</t>
  </si>
  <si>
    <t>Veneris den 20. August</t>
  </si>
  <si>
    <t>NL-HaNA_3772_0396-page-791-col-1-tr-0-line-0</t>
  </si>
  <si>
    <t>Jouss den 19. Auguft</t>
  </si>
  <si>
    <t>Sabbathi den 21. Augnft</t>
  </si>
  <si>
    <t>1750-10-29</t>
  </si>
  <si>
    <t>Soyis den 29 Oftober</t>
  </si>
  <si>
    <t>NL-HaNA_3805_0406-page-810-col-0-tr-1-line-0</t>
  </si>
  <si>
    <t>Mercurii den 28 O&amp;ober</t>
  </si>
  <si>
    <t>Veneris den 30 Odlober</t>
  </si>
  <si>
    <t>1753-09-09</t>
  </si>
  <si>
    <t>Lune den 10 September</t>
  </si>
  <si>
    <t>1710-03-24</t>
  </si>
  <si>
    <t>Lune den 24. Maert</t>
  </si>
  <si>
    <t>NL-HaNA_3765_0182-page-362-col-1-tr-1-line-0</t>
  </si>
  <si>
    <t>Sabbathi den 22. Maer</t>
  </si>
  <si>
    <t>Martis den 25. Maer</t>
  </si>
  <si>
    <t>1746-01-06</t>
  </si>
  <si>
    <t>Jovis den 5 January</t>
  </si>
  <si>
    <t>NL-HaNA_3801_0057-page-113-col-0-tr-3-line-0</t>
  </si>
  <si>
    <t>Mercurii den 5 January</t>
  </si>
  <si>
    <t>Veneris den 7 Jannary</t>
  </si>
  <si>
    <t>1784-07-06</t>
  </si>
  <si>
    <t>Martis den 6 July</t>
  </si>
  <si>
    <t>NL-HaNA_3843_0009-page-16-col-1-tr-1-line-0</t>
  </si>
  <si>
    <t>Lune den 5 July</t>
  </si>
  <si>
    <t>1717-01-27</t>
  </si>
  <si>
    <t>Mercurii den 27. Januari</t>
  </si>
  <si>
    <t>NL-HaNA_3772_0067-page-132-col-0-tr-1-line-1</t>
  </si>
  <si>
    <t>Martis den 16. Januari</t>
  </si>
  <si>
    <t>Jovis den 28. Jannari</t>
  </si>
  <si>
    <t>1712-02-29</t>
  </si>
  <si>
    <t>Lane den 29. Februarte</t>
  </si>
  <si>
    <t>NL-HaNA_3767_0116-page-231-col-1-tr-2-line-0</t>
  </si>
  <si>
    <t>Sabbathi den 27. Februari</t>
  </si>
  <si>
    <t>Martis den 1. Maer</t>
  </si>
  <si>
    <t>1771-11-28</t>
  </si>
  <si>
    <t>Jovis den 28 November</t>
  </si>
  <si>
    <t>NL-HaNA_3826_0492-page-982-col-0-tr-1-line-0</t>
  </si>
  <si>
    <t>Veneris den 29 November</t>
  </si>
  <si>
    <t>1726-04-04</t>
  </si>
  <si>
    <t>Jovis den 4. Apri</t>
  </si>
  <si>
    <t>NL-HaNA_3781_0157-page-313-col-1-tr-1-line-0</t>
  </si>
  <si>
    <t>Mercuriz den 3. Apri</t>
  </si>
  <si>
    <t>Veneris den 5. Apri</t>
  </si>
  <si>
    <t>1734-05-18</t>
  </si>
  <si>
    <t>Martis den 18, Me</t>
  </si>
  <si>
    <t>NL-HaNA_3789_0169-page-336-col-1-tr-1-line-0</t>
  </si>
  <si>
    <t>Lune den 17. Mey</t>
  </si>
  <si>
    <t>Mercurii den 19. Me</t>
  </si>
  <si>
    <t>1731-03-07</t>
  </si>
  <si>
    <t>Mercurii den 7. Maar</t>
  </si>
  <si>
    <t>NL-HaNA_3786_0101-page-201-col-0-tr-1-line-0</t>
  </si>
  <si>
    <t>Martis den 6. Maar</t>
  </si>
  <si>
    <t>1791-07-21</t>
  </si>
  <si>
    <t>NL-HaNA_3855_0023-page-45-col-1-tr-1-line-7</t>
  </si>
  <si>
    <t>Merciritì den 20 Jul</t>
  </si>
  <si>
    <t>1774-05-24</t>
  </si>
  <si>
    <t>Martis den 24 Mey</t>
  </si>
  <si>
    <t>NL-HaNA_3829_0255-page-509-col-0-tr-1-line-0</t>
  </si>
  <si>
    <t>Veneris den 20 Mey</t>
  </si>
  <si>
    <t>Mercurii den 25. Me</t>
  </si>
  <si>
    <t>1754-09-26</t>
  </si>
  <si>
    <t>Jovis den 26 September</t>
  </si>
  <si>
    <t>NL-HaNA_3809_0327-page-653-col-1-tr-1-line-0</t>
  </si>
  <si>
    <t>Mercurii den 25 September</t>
  </si>
  <si>
    <t>Veneris den 27 September</t>
  </si>
  <si>
    <t>1730-07-09</t>
  </si>
  <si>
    <t>Sabbathi den 8. Ful</t>
  </si>
  <si>
    <t>Lane den 10, Juli</t>
  </si>
  <si>
    <t>1743-07-13</t>
  </si>
  <si>
    <t>Sabbatbi den 13 July</t>
  </si>
  <si>
    <t>NL-HaNA_3798_0228-page-454-col-0-tr-0-line-5</t>
  </si>
  <si>
    <t>Veneris den 12 Faul</t>
  </si>
  <si>
    <t>Lune dent ís July</t>
  </si>
  <si>
    <t>1756-04-06</t>
  </si>
  <si>
    <t>Martis den 6 April</t>
  </si>
  <si>
    <t>NL-HaNA_3811_0145-page-288-col-1-tr-0-line-61</t>
  </si>
  <si>
    <t>Lane den 5 April</t>
  </si>
  <si>
    <t>Mercurii den 7 April</t>
  </si>
  <si>
    <t>1766-10-07</t>
  </si>
  <si>
    <t>Martis den 7 Ofober</t>
  </si>
  <si>
    <t>NL-HaNA_3821_0362-page-723-col-1-tr-1-line-0</t>
  </si>
  <si>
    <t>Lune den 6 Oftober</t>
  </si>
  <si>
    <t>Mercuri den 8 Oftober</t>
  </si>
  <si>
    <t>1728-08-06</t>
  </si>
  <si>
    <t>Veneris den 6. Auguft</t>
  </si>
  <si>
    <t>NL-HaNA_3783_0356-page-711-col-1-tr-0-line-0</t>
  </si>
  <si>
    <t>Fovis den 5, Auguft</t>
  </si>
  <si>
    <t>Sabbathi den 73. Augaf</t>
  </si>
  <si>
    <t>1737-05-16</t>
  </si>
  <si>
    <t>Jovis den 16. Me</t>
  </si>
  <si>
    <t>NL-HaNA_3792_0134-page-267-col-0-tr-1-line-0</t>
  </si>
  <si>
    <t>Mercuri den 15. Mey</t>
  </si>
  <si>
    <t>Veneris den 17. Me</t>
  </si>
  <si>
    <t>1712-11-16</t>
  </si>
  <si>
    <t>Mercurii den 16. Novembe</t>
  </si>
  <si>
    <t>NL-HaNA_3767_0661-page-1320-col-0-tr-1-line-0</t>
  </si>
  <si>
    <t>Martis den 15. Novembe</t>
  </si>
  <si>
    <t>Jovis den 17. Novembe</t>
  </si>
  <si>
    <t>1764-09-14</t>
  </si>
  <si>
    <t>NL-HaNA_3819_0382-page-763-col-0-tr-1-line-0</t>
  </si>
  <si>
    <t>Jovis den 13 Septembeg</t>
  </si>
  <si>
    <t>Lune den 17 September</t>
  </si>
  <si>
    <t>1768-01-28</t>
  </si>
  <si>
    <t>Jovis den 28 January</t>
  </si>
  <si>
    <t>NL-HaNA_3823_0107-page-212-col-0-tr-1-line-0</t>
  </si>
  <si>
    <t>Mercurii den 27 January</t>
  </si>
  <si>
    <t>Veneris den 29 January</t>
  </si>
  <si>
    <t>1720-05-25</t>
  </si>
  <si>
    <t>Sabbathi den 25. Me</t>
  </si>
  <si>
    <t>NL-HaNA_3775_0230-page-458-col-1-tr-3-line-0</t>
  </si>
  <si>
    <t>Veneris den 24. Me</t>
  </si>
  <si>
    <t>Lune den 27. Mey</t>
  </si>
  <si>
    <t>1728-07-30</t>
  </si>
  <si>
    <t>Veneris den 30, Jal</t>
  </si>
  <si>
    <t>NL-HaNA_3783_0346-page-691-col-1-tr-3-line-0</t>
  </si>
  <si>
    <t>Jovis aen 29, Ful</t>
  </si>
  <si>
    <t>Sabbathi den 31. Jul</t>
  </si>
  <si>
    <t>1754-01-21</t>
  </si>
  <si>
    <t>Lune den 21 January</t>
  </si>
  <si>
    <t>NL-HaNA_3809_0083-page-164-col-1-tr-1-line-0</t>
  </si>
  <si>
    <t>Veneris den 18 January</t>
  </si>
  <si>
    <t>1716-09-25</t>
  </si>
  <si>
    <t>Veneris den 25. Septembe</t>
  </si>
  <si>
    <t>NL-HaNA_3771_0448-page-894-col-1-tr-3-line-0</t>
  </si>
  <si>
    <t>Jovis den 24. Septembe</t>
  </si>
  <si>
    <t>Sabbathi den 216. Septemb</t>
  </si>
  <si>
    <t>1742-07-01</t>
  </si>
  <si>
    <t>Sabbathiden 30 Funy</t>
  </si>
  <si>
    <t>Luna den 2 July</t>
  </si>
  <si>
    <t>1716-11-27</t>
  </si>
  <si>
    <t>Sabbat hi den 28. Novemb</t>
  </si>
  <si>
    <t>1773-10-08</t>
  </si>
  <si>
    <t>Veneris den 8 October</t>
  </si>
  <si>
    <t>NL-HaNA_3828_0391-page-781-col-1-tr-1-line-0</t>
  </si>
  <si>
    <t>Dominica den 10 Oftober</t>
  </si>
  <si>
    <t>1715-03-12</t>
  </si>
  <si>
    <t>Martis den 12, Maer</t>
  </si>
  <si>
    <t>NL-HaNA_3770_0129-page-257-col-1-tr-0-line-0</t>
  </si>
  <si>
    <t>Lune den 11. Maert</t>
  </si>
  <si>
    <t>Mercurii den 13. Maer</t>
  </si>
  <si>
    <t>1721-06-18</t>
  </si>
  <si>
    <t>Mercurii den 18. Juni</t>
  </si>
  <si>
    <t>NL-HaNA_3776_0255-page-509-col-1-tr-3-line-0</t>
  </si>
  <si>
    <t>Martis den 17. Juni</t>
  </si>
  <si>
    <t>Jovis den 19. Juni</t>
  </si>
  <si>
    <t>1751-12-05</t>
  </si>
  <si>
    <t>Sabbatthi den 4 Decembe</t>
  </si>
  <si>
    <t>Lune den 6 December</t>
  </si>
  <si>
    <t>1748-04-17</t>
  </si>
  <si>
    <t>Mercurii den 17 April</t>
  </si>
  <si>
    <t>NL-HaNA_3803_0199-page-397-col-0-tr-2-line-0</t>
  </si>
  <si>
    <t>Martis den 16 April</t>
  </si>
  <si>
    <t>Jovis den 18 April</t>
  </si>
  <si>
    <t>1739-06-12</t>
  </si>
  <si>
    <t>Veneris den 12 Tany</t>
  </si>
  <si>
    <t>NL-HaNA_3794_0201-page-400-col-1-tr-2-line-0</t>
  </si>
  <si>
    <t>Jovis den 11 Jun</t>
  </si>
  <si>
    <t>Sabbathì den 13 Juny</t>
  </si>
  <si>
    <t>1765-01-16</t>
  </si>
  <si>
    <t>Mercurii den 16 January</t>
  </si>
  <si>
    <t>NL-HaNA_3820_0094-page-186-col-0-tr-1-line-0</t>
  </si>
  <si>
    <t>Martis den 15 January</t>
  </si>
  <si>
    <t>Jovis den 17 January</t>
  </si>
  <si>
    <t>1734-09-27</t>
  </si>
  <si>
    <t>Lane den 27. September</t>
  </si>
  <si>
    <t>NL-HaNA_3789_0290-page-579-col-1-tr-3-line-0</t>
  </si>
  <si>
    <t>Sabbathi den 25. Septembe</t>
  </si>
  <si>
    <t>Martis den 28, Septembe</t>
  </si>
  <si>
    <t>1795-02-20</t>
  </si>
  <si>
    <t>Veneris den 20 February</t>
  </si>
  <si>
    <t>NL-HaNA_3862_0308-page-614-col-0-tr-1-line-0</t>
  </si>
  <si>
    <t>Fovis den 19 February</t>
  </si>
  <si>
    <t>Lune den 23 February</t>
  </si>
  <si>
    <t>1718-02-06</t>
  </si>
  <si>
    <t>Sabbath den 5. Februaári</t>
  </si>
  <si>
    <t>Lane den 7. Februari</t>
  </si>
  <si>
    <t>1745-07-07</t>
  </si>
  <si>
    <t>Mercurii den 7 July</t>
  </si>
  <si>
    <t>NL-HaNA_3800_0304-page-607-col-1-tr-2-line-0</t>
  </si>
  <si>
    <t>Tovis den 8 TFal</t>
  </si>
  <si>
    <t>1775-02-20</t>
  </si>
  <si>
    <t>Lune den 20 February</t>
  </si>
  <si>
    <t>NL-HaNA_3830_0149-page-297-col-0-tr-2-line-0</t>
  </si>
  <si>
    <t>Veoneris den 17 Februar</t>
  </si>
  <si>
    <t>Martis den 21 February</t>
  </si>
  <si>
    <t>1731-07-29</t>
  </si>
  <si>
    <t>Sabbathi den 28. Jul</t>
  </si>
  <si>
    <t>Lune den 30. Tuli</t>
  </si>
  <si>
    <t>1744-02-08</t>
  </si>
  <si>
    <t>Sabbathi den 8 February</t>
  </si>
  <si>
    <t>NL-HaNA_3799_0093-page-185-col-0-tr-0-line-0</t>
  </si>
  <si>
    <t>Veneris den 7 February</t>
  </si>
  <si>
    <t>Lune den 10 February</t>
  </si>
  <si>
    <t>1782-03-27</t>
  </si>
  <si>
    <t>Mercurii den 27 Maart</t>
  </si>
  <si>
    <t>NL-HaNA_3838_0126-page-251-col-0-tr-1-line-0</t>
  </si>
  <si>
    <t>Martis den 26 Maart</t>
  </si>
  <si>
    <t>1782-02-04</t>
  </si>
  <si>
    <t>Lune den 4 Februarj</t>
  </si>
  <si>
    <t>NL-HaNA_3838_0046-page-91-col-1-tr-0-line-0</t>
  </si>
  <si>
    <t>1790-07-20</t>
  </si>
  <si>
    <t>Martis den 20 July</t>
  </si>
  <si>
    <t>NL-HaNA_3853_0339-page-676-col-1-tr-1-line-0</t>
  </si>
  <si>
    <t>Lune den 19 July</t>
  </si>
  <si>
    <t>Mercurii den 21 Jaly</t>
  </si>
  <si>
    <t>1734-05-06</t>
  </si>
  <si>
    <t>Jovis den 6. Me</t>
  </si>
  <si>
    <t>NL-HaNA_3789_0160-page-319-col-0-tr-1-line-0</t>
  </si>
  <si>
    <t>Mercurii den 5. Me</t>
  </si>
  <si>
    <t>Veneris den 7. Me</t>
  </si>
  <si>
    <t>1738-11-29</t>
  </si>
  <si>
    <t>Sabbath den 29 November</t>
  </si>
  <si>
    <t>NL-HaNA_3793_0385-page-768-col-0-tr-1-line-0</t>
  </si>
  <si>
    <t>Veneris den 28. Novembe</t>
  </si>
  <si>
    <t>Lune den 1; December</t>
  </si>
  <si>
    <t>1718-10-02</t>
  </si>
  <si>
    <t>Sabbathi den 1. Oftobe</t>
  </si>
  <si>
    <t>Lune den 3. Oftober</t>
  </si>
  <si>
    <t>1748-05-17</t>
  </si>
  <si>
    <t>Veneris den 17 Mey</t>
  </si>
  <si>
    <t>NL-HaNA_3803_0242-page-482-col-0-tr-1-line-0</t>
  </si>
  <si>
    <t>Jovis den 16 Mey</t>
  </si>
  <si>
    <t>Sabbathi den 18 Mey</t>
  </si>
  <si>
    <t>1706-08-14</t>
  </si>
  <si>
    <t>Sabbathi den 14. Angnft</t>
  </si>
  <si>
    <t>NL-HaNA_3761_0456-page-910-col-0-tr-1-line-0</t>
  </si>
  <si>
    <t>Dominica den 15. Angufk</t>
  </si>
  <si>
    <t>1769-10-28</t>
  </si>
  <si>
    <t>Veneris den 27 Oëtober</t>
  </si>
  <si>
    <t>Lune den 30 Oftober</t>
  </si>
  <si>
    <t>Mattis den 1 Maart</t>
  </si>
  <si>
    <t>CHECK</t>
  </si>
  <si>
    <t>NL-HaNA_3864_0356-page-711-col-0-tr-1-line-0</t>
  </si>
  <si>
    <t>1791-08-16</t>
  </si>
  <si>
    <t>Martis den 16 Aagufty</t>
  </si>
  <si>
    <t>NL-HaNA_3855_0052-page-102-col-1-tr-1-line-0</t>
  </si>
  <si>
    <t>Mereurii den 17 Augusty</t>
  </si>
  <si>
    <t>1787-03-11</t>
  </si>
  <si>
    <t>Veneris den 9 Maart</t>
  </si>
  <si>
    <t>Lune den 12 Maart</t>
  </si>
  <si>
    <t>1737-06-16</t>
  </si>
  <si>
    <t>Öabbatki den 15. Juny</t>
  </si>
  <si>
    <t>Lune den 17. Juny</t>
  </si>
  <si>
    <t>1726-01-04</t>
  </si>
  <si>
    <t>Veneris den 4. Januari</t>
  </si>
  <si>
    <t>NL-HaNA_3781_0045-page-88-col-1-tr-0-line-24</t>
  </si>
  <si>
    <t>ouvis den 3. Jannari</t>
  </si>
  <si>
    <t>Sabbathi den 5. Januari</t>
  </si>
  <si>
    <t>1733-09-30</t>
  </si>
  <si>
    <t>Mercutii den 30. Septembe</t>
  </si>
  <si>
    <t>NL-HaNA_3788_0353-page-705-col-0-tr-1-line-0</t>
  </si>
  <si>
    <t>Martis den 29, Septembe</t>
  </si>
  <si>
    <t>Jovis den 1, Oftobe</t>
  </si>
  <si>
    <t>1785-02-06</t>
  </si>
  <si>
    <t>Koneris. den. 4 Februa</t>
  </si>
  <si>
    <t>Sabbathi den 5 February</t>
  </si>
  <si>
    <t>1728-12-24</t>
  </si>
  <si>
    <t>NL-HaNA_3783_0527-page-1052-col-1-tr-0-line-0</t>
  </si>
  <si>
    <t>Tovis den 23. Decembe</t>
  </si>
  <si>
    <t>Lune den 27. December</t>
  </si>
  <si>
    <t>1788-10-16</t>
  </si>
  <si>
    <t>Jovis den 16 October</t>
  </si>
  <si>
    <t>NL-HaNA_3851_0142-page-283-col-1-tr-2-line-0</t>
  </si>
  <si>
    <t>Mercurii den 5 Oftober</t>
  </si>
  <si>
    <t>Veneris den 17 Oftober</t>
  </si>
  <si>
    <t>1734-11-23</t>
  </si>
  <si>
    <t>Martis den 23, Novembe</t>
  </si>
  <si>
    <t>NL-HaNA_3789_0346-page-690-col-0-tr-3-line-0</t>
  </si>
  <si>
    <t>Lune den 22. November</t>
  </si>
  <si>
    <t>Mercurii den 24, Novembe</t>
  </si>
  <si>
    <t>1732-06-09</t>
  </si>
  <si>
    <t>Dominica den 8. Juni</t>
  </si>
  <si>
    <t>NL-HaNA_3787_0223-page-444-col-0-tr-1-line-0</t>
  </si>
  <si>
    <t>Sabbatbi den 7. Juni</t>
  </si>
  <si>
    <t>Martis den 10, Jani</t>
  </si>
  <si>
    <t>1759-06-27</t>
  </si>
  <si>
    <t>Mercurii den zo Juny</t>
  </si>
  <si>
    <t>off_by_a_week</t>
  </si>
  <si>
    <t>Martis den 26, Jun</t>
  </si>
  <si>
    <t>Jovis den 28 Jany</t>
  </si>
  <si>
    <t>1717-06-22</t>
  </si>
  <si>
    <t>Martis den 23. Juni</t>
  </si>
  <si>
    <t>NL-HaNA_3772_0303-page-605-col-0-tr-2-line-0</t>
  </si>
  <si>
    <t>Lune den 21. Junij</t>
  </si>
  <si>
    <t>Mercurii den 23. Juni</t>
  </si>
  <si>
    <t>1744-02-15</t>
  </si>
  <si>
    <t>Sabbathi den 15 February</t>
  </si>
  <si>
    <t>NL-HaNA_3799_0100-page-198-col-0-tr-0-line-0</t>
  </si>
  <si>
    <t>Von ris den va February.</t>
  </si>
  <si>
    <t>Tune den 17 February</t>
  </si>
  <si>
    <t>1785-07-06</t>
  </si>
  <si>
    <t>Martis den 5 July</t>
  </si>
  <si>
    <t>Jovis dem 7 July</t>
  </si>
  <si>
    <t>1779-02-27</t>
  </si>
  <si>
    <t>Veneris den 26 February</t>
  </si>
  <si>
    <t>Lune den 1 Maart</t>
  </si>
  <si>
    <t>1722-02-02</t>
  </si>
  <si>
    <t>Lune den 2. Februarii</t>
  </si>
  <si>
    <t>NL-HaNA_3777_0082-page-162-col-1-tr-1-line-0</t>
  </si>
  <si>
    <t>Sabbathi den 31. anuarii</t>
  </si>
  <si>
    <t>Martis den 3. Februari</t>
  </si>
  <si>
    <t>1744-01-19</t>
  </si>
  <si>
    <t>Sabbathi den 18 January</t>
  </si>
  <si>
    <t>Lune den 20 January</t>
  </si>
  <si>
    <t>1730-08-13</t>
  </si>
  <si>
    <t>abbathi den 12. Augusti</t>
  </si>
  <si>
    <t>Lune den 14. Angusti</t>
  </si>
  <si>
    <t>1745-11-18</t>
  </si>
  <si>
    <t>NL-HaNA_3800_0462-page-922-col-1-tr-0-line-0</t>
  </si>
  <si>
    <t>Merchrii den 17 November</t>
  </si>
  <si>
    <t>Veneris den 19 November</t>
  </si>
  <si>
    <t>1773-06-01</t>
  </si>
  <si>
    <t>Martis den 1 TJun</t>
  </si>
  <si>
    <t>NL-HaNA_3828_0259-page-517-col-0-tr-1-line-0</t>
  </si>
  <si>
    <t>Veneris den 28 Mey</t>
  </si>
  <si>
    <t>1780-07-21</t>
  </si>
  <si>
    <t>Veneris den 21 July</t>
  </si>
  <si>
    <t>NL-HaNA_3835_0410-page-819-col-0-tr-1-line-0</t>
  </si>
  <si>
    <t>Jovis den 20 July</t>
  </si>
  <si>
    <t>Lane den 24 July</t>
  </si>
  <si>
    <t>1706-03-09</t>
  </si>
  <si>
    <t>Martis den 9. Maer</t>
  </si>
  <si>
    <t>NL-HaNA_3761_0136-page-270-col-1-tr-1-line-1</t>
  </si>
  <si>
    <t>Luna den 8. Maert</t>
  </si>
  <si>
    <t>Mercurii den 10. Maer</t>
  </si>
  <si>
    <t>1757-02-17</t>
  </si>
  <si>
    <t>Jovis den 17 February</t>
  </si>
  <si>
    <t>NL-HaNA_3812_0141-page-280-col-1-tr-1-line-0</t>
  </si>
  <si>
    <t>Veneris den 18 February</t>
  </si>
  <si>
    <t>1707-05-20</t>
  </si>
  <si>
    <t>Veneris den 29, Me</t>
  </si>
  <si>
    <t>NL-HaNA_3762_0282-page-563-col-1-tr-0-line-34</t>
  </si>
  <si>
    <t>Jovis den to Mey</t>
  </si>
  <si>
    <t>Sabbathi den 21. Me</t>
  </si>
  <si>
    <t>1717-08-01</t>
  </si>
  <si>
    <t>Sabbathi den 31, Jul</t>
  </si>
  <si>
    <t>Lane den 2. Augull:</t>
  </si>
  <si>
    <t>1783-10-07</t>
  </si>
  <si>
    <t>Martis den 7 Oftcber</t>
  </si>
  <si>
    <t>NL-HaNA_3841_0134-page-267-col-0-tr-2-line-0</t>
  </si>
  <si>
    <t>Lune den 6 October</t>
  </si>
  <si>
    <t>Mercarii den 8 October</t>
  </si>
  <si>
    <t>1720-08-26</t>
  </si>
  <si>
    <t>Lune den 26. Augusti</t>
  </si>
  <si>
    <t>NL-HaNA_3775_0347-page-692-col-1-tr-2-line-0</t>
  </si>
  <si>
    <t>Sabbath den 24. Angufii</t>
  </si>
  <si>
    <t>Martis den 27. Anguti</t>
  </si>
  <si>
    <t>1783-08-27</t>
  </si>
  <si>
    <t>Mercuris den 27 Augufiy</t>
  </si>
  <si>
    <t>NL-HaNA_3841_0078-page-154-col-1-tr-2-line-15</t>
  </si>
  <si>
    <t>Martis den 26 Angufty</t>
  </si>
  <si>
    <t>Jovis den 28 Angufiy</t>
  </si>
  <si>
    <t>1730-01-06</t>
  </si>
  <si>
    <t>Vencris den 6. Jannars</t>
  </si>
  <si>
    <t>NL-HaNA_3785_0053-page-105-col-1-tr-1-line-0</t>
  </si>
  <si>
    <t>Jovis den 5, Januari</t>
  </si>
  <si>
    <t>Sabbathi den 7. Januart</t>
  </si>
  <si>
    <t>1746-01-24</t>
  </si>
  <si>
    <t>Lune den 24 January</t>
  </si>
  <si>
    <t>NL-HaNA_3801_0080-page-159-col-0-tr-3-line-0</t>
  </si>
  <si>
    <t>Sabbathi den 22 January</t>
  </si>
  <si>
    <t>Martis den 25 January</t>
  </si>
  <si>
    <t>1716-04-29</t>
  </si>
  <si>
    <t>Mercarii den 29. Apri</t>
  </si>
  <si>
    <t>NL-HaNA_3771_0201-page-400-col-0-tr-2-line-0</t>
  </si>
  <si>
    <t>Martis den 28. Apri</t>
  </si>
  <si>
    <t>Jovis den 30, Apri</t>
  </si>
  <si>
    <t>1794-04-02</t>
  </si>
  <si>
    <t>Jovis den 3 April</t>
  </si>
  <si>
    <t>1768-11-15</t>
  </si>
  <si>
    <t>Martis den 15 November</t>
  </si>
  <si>
    <t>NL-HaNA_3823_0386-page-770-col-0-tr-1-line-0</t>
  </si>
  <si>
    <t>Mercurii den 16 November</t>
  </si>
  <si>
    <t>1764-09-19</t>
  </si>
  <si>
    <t>Mercuri den 19 September</t>
  </si>
  <si>
    <t>NL-HaNA_3819_0387-page-773-col-0-tr-0-line-18</t>
  </si>
  <si>
    <t>Martis dèn 18 ‘Septembe</t>
  </si>
  <si>
    <t>Jovis den 20 September</t>
  </si>
  <si>
    <t>1757-06-19</t>
  </si>
  <si>
    <t>Veneris den 17 Jany</t>
  </si>
  <si>
    <t>Lune den 20 Juny</t>
  </si>
  <si>
    <t>1746-11-20</t>
  </si>
  <si>
    <t>Sabbathi den ro November</t>
  </si>
  <si>
    <t>Lune den 21 November</t>
  </si>
  <si>
    <t>1784-01-01</t>
  </si>
  <si>
    <t>Mer curie den 31 Decembe</t>
  </si>
  <si>
    <t>Veneris den 2 January</t>
  </si>
  <si>
    <t>1710-06-27</t>
  </si>
  <si>
    <t>Veneris den 27. Juni</t>
  </si>
  <si>
    <t>NL-HaNA_3765_0378-page-755-col-0-tr-1-line-0</t>
  </si>
  <si>
    <t>Sabbathi den 28. Juni</t>
  </si>
  <si>
    <t>1790-04-11</t>
  </si>
  <si>
    <t>Veneris den o April</t>
  </si>
  <si>
    <t>Lane den 12 April</t>
  </si>
  <si>
    <t>1727-07-04</t>
  </si>
  <si>
    <t>Vencris den 4. Jal</t>
  </si>
  <si>
    <t>NL-HaNA_3782_0305-page-609-col-0-tr-1-line-0</t>
  </si>
  <si>
    <t>Jovis den 3, Jul</t>
  </si>
  <si>
    <t>Sabbathi den 5. Ful</t>
  </si>
  <si>
    <t>1743-03-15</t>
  </si>
  <si>
    <t>Veneris den 15 Maart</t>
  </si>
  <si>
    <t>NL-HaNA_3798_0112-page-223-col-1-tr-3-line-0</t>
  </si>
  <si>
    <t>Jovis den 14 Maart</t>
  </si>
  <si>
    <t>Sabbathi den 16 Maart</t>
  </si>
  <si>
    <t>1772-08-18</t>
  </si>
  <si>
    <t>Martis den 18 Augusty</t>
  </si>
  <si>
    <t>NL-HaNA_3827_0367-page-733-col-1-tr-3-line-0</t>
  </si>
  <si>
    <t>Luna den 17 Augusty</t>
  </si>
  <si>
    <t>Mercurii den 19 Augusty</t>
  </si>
  <si>
    <t>1718-08-06</t>
  </si>
  <si>
    <t>NL-HaNA_3773_0377-page-753-col-0-tr-0-line-0</t>
  </si>
  <si>
    <t>Veneris den 5. Auvust</t>
  </si>
  <si>
    <t>Lune den 8. Augusti</t>
  </si>
  <si>
    <t>1733-04-18</t>
  </si>
  <si>
    <t>Sabbathi den 18. Apri</t>
  </si>
  <si>
    <t>NL-HaNA_3788_0178-page-354-col-0-tr-2-line-0</t>
  </si>
  <si>
    <t>Veneris den 17, Apri</t>
  </si>
  <si>
    <t>Lune den 20. April</t>
  </si>
  <si>
    <t>1787-09-04</t>
  </si>
  <si>
    <t>Martis den 4 September</t>
  </si>
  <si>
    <t>NL-HaNA_3849_0155-page-309-col-1-tr-2-line-0</t>
  </si>
  <si>
    <t>Lune den 3 September</t>
  </si>
  <si>
    <t>Mercurii den $ September</t>
  </si>
  <si>
    <t>1778-09-15</t>
  </si>
  <si>
    <t>Martis den 5 September</t>
  </si>
  <si>
    <t>NL-HaNA_3833_0431-page-860-col-1-tr-1-line-1</t>
  </si>
  <si>
    <t>Lund den 14 September</t>
  </si>
  <si>
    <t>Metcurii den 16 September</t>
  </si>
  <si>
    <t>1726-05-02</t>
  </si>
  <si>
    <t>Jovis den 2, Me</t>
  </si>
  <si>
    <t>NL-HaNA_3781_0196-page-391-col-1-tr-0-line-0</t>
  </si>
  <si>
    <t>Mercurii den 1. Me</t>
  </si>
  <si>
    <t>Vencris den 3. Me</t>
  </si>
  <si>
    <t>1733-11-25</t>
  </si>
  <si>
    <t>Mereurii den 2. November</t>
  </si>
  <si>
    <t>NL-HaNA_3788_0405-page-808-col-1-tr-1-line-0</t>
  </si>
  <si>
    <t>Martis den 24. Novembe</t>
  </si>
  <si>
    <t>Jovis den 26. Novembe</t>
  </si>
  <si>
    <t>1746-11-29</t>
  </si>
  <si>
    <t>Martis den 29 Novembe</t>
  </si>
  <si>
    <t>NL-HaNA_3801_0474-page-947-col-1-tr-1-line-0</t>
  </si>
  <si>
    <t>Luna den 28 November</t>
  </si>
  <si>
    <t>Movrurji den 30 November</t>
  </si>
  <si>
    <t>1742-04-02</t>
  </si>
  <si>
    <t>Lune den 2 April</t>
  </si>
  <si>
    <t>NL-HaNA_3797_0157-page-312-col-0-tr-3-line-0</t>
  </si>
  <si>
    <t>Sabbathi den 31 Maart</t>
  </si>
  <si>
    <t>Martis den 3 April</t>
  </si>
  <si>
    <t>1746-05-27</t>
  </si>
  <si>
    <t>Veneris den 27 Mey</t>
  </si>
  <si>
    <t>NL-HaNA_3801_0245-page-488-col-0-tr-1-line-0</t>
  </si>
  <si>
    <t>Jovis den 26 Mey</t>
  </si>
  <si>
    <t>Sabbathi den 28 Mey</t>
  </si>
  <si>
    <t>1726-08-16</t>
  </si>
  <si>
    <t>Veneris den 16. Aygufl</t>
  </si>
  <si>
    <t>NL-HaNA_3781_0338-page-674-col-0-tr-0-line-0</t>
  </si>
  <si>
    <t>Fovis den 15. Angsfi</t>
  </si>
  <si>
    <t>Sabbathi den 17. Anguft</t>
  </si>
  <si>
    <t>1760-12-10</t>
  </si>
  <si>
    <t>Mercurii den 10 December</t>
  </si>
  <si>
    <t>NL-HaNA_3815_0511-page-1020-col-0-tr-0-line-41</t>
  </si>
  <si>
    <t>Martis den o December</t>
  </si>
  <si>
    <t>Jovis den 11 December</t>
  </si>
  <si>
    <t>1787-04-02</t>
  </si>
  <si>
    <t>Lane den 2 April</t>
  </si>
  <si>
    <t>NL-HaNA_3848_0265-page-528-col-1-tr-2-line-0</t>
  </si>
  <si>
    <t>Veneris den 30 Maart</t>
  </si>
  <si>
    <t>Martis den 3 Ápril</t>
  </si>
  <si>
    <t>1710-09-06</t>
  </si>
  <si>
    <t>Sabbathi den 6. Septembe</t>
  </si>
  <si>
    <t>NL-HaNA_3765_0510-page-1019-col-1-tr-0-line-0</t>
  </si>
  <si>
    <t>Luna den 8. September</t>
  </si>
  <si>
    <t>1741-10-25</t>
  </si>
  <si>
    <t>Mercurii den 25 Oftober</t>
  </si>
  <si>
    <t>NL-HaNA_3796_0404-page-807-col-1-tr-1-line-0</t>
  </si>
  <si>
    <t>Martis den 24 Oétober</t>
  </si>
  <si>
    <t>Jovis den 26 Oftober</t>
  </si>
  <si>
    <t>1755-01-20</t>
  </si>
  <si>
    <t>NL-HaNA_3810_0084-page-167-col-1-tr-1-line-0</t>
  </si>
  <si>
    <t>Veneris den 17 January</t>
  </si>
  <si>
    <t>Martis den 21 January</t>
  </si>
  <si>
    <t>1756-10-14</t>
  </si>
  <si>
    <t>Jovis dem 14 Ofober</t>
  </si>
  <si>
    <t>NL-HaNA_3811_0346-page-691-col-1-tr-0-line-8</t>
  </si>
  <si>
    <t>Mercuri den 13 Oftober</t>
  </si>
  <si>
    <t>Veneris den 15 Oftober</t>
  </si>
  <si>
    <t>1785-06-09</t>
  </si>
  <si>
    <t>Jovis den 9 Juny</t>
  </si>
  <si>
    <t>NL-HaNA_3844_0403-page-804-col-0-tr-0-line-0</t>
  </si>
  <si>
    <t>Mereurii den 8 Juny</t>
  </si>
  <si>
    <t>1723-12-06</t>
  </si>
  <si>
    <t>Lune den 6. December</t>
  </si>
  <si>
    <t>NL-HaNA_3778_0435-page-868-col-1-tr-1-line-0</t>
  </si>
  <si>
    <t>Sabbatbi den 4. Decembe</t>
  </si>
  <si>
    <t>Martis den 7. Decembe</t>
  </si>
  <si>
    <t>1722-04-26</t>
  </si>
  <si>
    <t>Sabbathi den 25. Apri</t>
  </si>
  <si>
    <t>1784-05-28</t>
  </si>
  <si>
    <t>Veneris den +8 Mey</t>
  </si>
  <si>
    <t>NL-HaNA_3842_0346-page-691-col-1-tr-1-line-0</t>
  </si>
  <si>
    <t>Jovs den 27 Mes</t>
  </si>
  <si>
    <t>Mart:s den 1 Jany</t>
  </si>
  <si>
    <t>1783-05-18</t>
  </si>
  <si>
    <t>NL-HaNA_3840_0231-page-460-col-2-tr-2-line-0</t>
  </si>
  <si>
    <t>Veneris den 16 Mey</t>
  </si>
  <si>
    <t>Lung den to Mey</t>
  </si>
  <si>
    <t>1762-10-02</t>
  </si>
  <si>
    <t>NL-HaNA_3817_0420-page-839-col-0-tr-2-line-0</t>
  </si>
  <si>
    <t>Voneris den 1 October</t>
  </si>
  <si>
    <t>Lune den 4 Oftober</t>
  </si>
  <si>
    <t>1737-11-02</t>
  </si>
  <si>
    <t>Veneris den 1. Novenbe</t>
  </si>
  <si>
    <t>Lune den 4, November</t>
  </si>
  <si>
    <t>1719-04-21</t>
  </si>
  <si>
    <t>Veneris den 21. Apri</t>
  </si>
  <si>
    <t>NL-HaNA_3774_0202-page-403-col-0-tr-1-line-0</t>
  </si>
  <si>
    <t>Sabbathi-den +2. Apri</t>
  </si>
  <si>
    <t>1781-02-27</t>
  </si>
  <si>
    <t>Martis den 27 February</t>
  </si>
  <si>
    <t>NL-HaNA_3836_0251-page-500-col-1-tr-1-line-0</t>
  </si>
  <si>
    <t>Lune den 26 February</t>
  </si>
  <si>
    <t>Mercurii den 28 February</t>
  </si>
  <si>
    <t>1749-09-28</t>
  </si>
  <si>
    <t>NL-HaNA_3804_0380-page-758-col-1-tr-2-line-0</t>
  </si>
  <si>
    <t>Sabbatthi den 27 Septembe</t>
  </si>
  <si>
    <t>Lune den 29 September</t>
  </si>
  <si>
    <t>1716-12-24</t>
  </si>
  <si>
    <t>Jovis den 24. Decembe</t>
  </si>
  <si>
    <t>NL-HaNA_3771_0566-page-1131-col-1-tr-1-line-0</t>
  </si>
  <si>
    <t>Merrurii den 23. Decembe</t>
  </si>
  <si>
    <t>Luna den 28. December</t>
  </si>
  <si>
    <t>1711-12-24</t>
  </si>
  <si>
    <t>NL-HaNA_3766_0782-page-1562-col-1-tr-2-line-0</t>
  </si>
  <si>
    <t>Mercurti den 23. Decembe</t>
  </si>
  <si>
    <t>Lana den 28. December</t>
  </si>
  <si>
    <t>1739-12-02</t>
  </si>
  <si>
    <t>Mercurii den 2 December</t>
  </si>
  <si>
    <t>NL-HaNA_3794_0381-page-761-col-1-tr-2-line-0</t>
  </si>
  <si>
    <t>Martis den 1 December</t>
  </si>
  <si>
    <t>Jovis den 3 December</t>
  </si>
  <si>
    <t>1779-04-03</t>
  </si>
  <si>
    <t>NL-HaNA_3834_0231-page-461-col-0-tr-0-line-43</t>
  </si>
  <si>
    <t>Veneris den 2 April</t>
  </si>
  <si>
    <t>1763-10-24</t>
  </si>
  <si>
    <t>Lune den 24 October</t>
  </si>
  <si>
    <t>NL-HaNA_3818_0416-page-831-col-0-tr-1-line-0</t>
  </si>
  <si>
    <t>Veneris den 21 Oftober</t>
  </si>
  <si>
    <t>Martis den 25 Odtober</t>
  </si>
  <si>
    <t>1776-09-12</t>
  </si>
  <si>
    <t>Sovis den 12 September</t>
  </si>
  <si>
    <t>NL-HaNA_3831_0372-page-743-col-0-tr-0-line-0</t>
  </si>
  <si>
    <t>Mercurii den 11 September</t>
  </si>
  <si>
    <t>Veneris den 13 Scpttmber</t>
  </si>
  <si>
    <t>1720-08-07</t>
  </si>
  <si>
    <t>Mercurii den 7. Augnft</t>
  </si>
  <si>
    <t>NL-HaNA_3775_0327-page-652-col-0-tr-3-line-0</t>
  </si>
  <si>
    <t>Martis den 6. Auguft</t>
  </si>
  <si>
    <t>Jovis den 8. Aucuft</t>
  </si>
  <si>
    <t>1726-02-09</t>
  </si>
  <si>
    <t>Sabbathi den 9. Februari</t>
  </si>
  <si>
    <t>NL-HaNA_3781_0084-page-166-col-1-tr-1-line-0</t>
  </si>
  <si>
    <t>Veneris den 8. Februari</t>
  </si>
  <si>
    <t>Lane den 11. Februari</t>
  </si>
  <si>
    <t>1772-12-01</t>
  </si>
  <si>
    <t>NL-HaNA_3827_0468-page-934-col-1-tr-1-line-0</t>
  </si>
  <si>
    <t>Lune den 30 November</t>
  </si>
  <si>
    <t>1785-06-24</t>
  </si>
  <si>
    <t>Veneris den 24 Fuoy</t>
  </si>
  <si>
    <t>NL-HaNA_3844_0434-page-866-col-1-tr-0-line-48</t>
  </si>
  <si>
    <t>Line den 27 Jany</t>
  </si>
  <si>
    <t>1723-01-09</t>
  </si>
  <si>
    <t>Saûbathi den 9. Januari</t>
  </si>
  <si>
    <t>NL-HaNA_3778_0054-page-107-col-1-tr-0-line-0</t>
  </si>
  <si>
    <t>Veneris den 8. Januari</t>
  </si>
  <si>
    <t>Lune den 11. Januari</t>
  </si>
  <si>
    <t>1709-01-26</t>
  </si>
  <si>
    <t>Luna den 28. Januarii</t>
  </si>
  <si>
    <t>1791-11-23</t>
  </si>
  <si>
    <t>Mercurii den 23 November</t>
  </si>
  <si>
    <t>NL-HaNA_3855_0204-page-407-col-1-tr-1-line-0</t>
  </si>
  <si>
    <t>Martis den 22 November</t>
  </si>
  <si>
    <t>Jovis den 24 November</t>
  </si>
  <si>
    <t>1718-10-31</t>
  </si>
  <si>
    <t>Luu den 31. October</t>
  </si>
  <si>
    <t>NL-HaNA_3773_0498-page-994-col-0-tr-2-line-0</t>
  </si>
  <si>
    <t>Sabbathi den 29. Octobe</t>
  </si>
  <si>
    <t>Martis den 1. Novembe</t>
  </si>
  <si>
    <t>1712-05-11</t>
  </si>
  <si>
    <t>Mercurii den i1, Me</t>
  </si>
  <si>
    <t>NL-HaNA_3767_0295-page-589-col-1-tr-2-line-0</t>
  </si>
  <si>
    <t>Martis den 10. Me</t>
  </si>
  <si>
    <t>Jovis den 12. Me</t>
  </si>
  <si>
    <t>1723-05-01</t>
  </si>
  <si>
    <t>Sabbathi den 1. Me</t>
  </si>
  <si>
    <t>NL-HaNA_3778_0187-page-373-col-1-tr-0-line-0</t>
  </si>
  <si>
    <t>Veneris den 30. Apri</t>
  </si>
  <si>
    <t>Lune den 3. Mey</t>
  </si>
  <si>
    <t>1757-10-04</t>
  </si>
  <si>
    <t>Martis den 4 October</t>
  </si>
  <si>
    <t>NL-HaNA_3812_0431-page-861-col-1-tr-1-line-0</t>
  </si>
  <si>
    <t>Lune den 3 Oftober</t>
  </si>
  <si>
    <t>Mercurii den 5 October</t>
  </si>
  <si>
    <t>1747-10-20</t>
  </si>
  <si>
    <t>Veneris den 20 Oftober</t>
  </si>
  <si>
    <t>NL-HaNA_3802_0422-page-842-col-0-tr-2-line-0</t>
  </si>
  <si>
    <t>Jovis den 19 October</t>
  </si>
  <si>
    <t>Sabbathi den 21 Otober</t>
  </si>
  <si>
    <t>1789-06-25</t>
  </si>
  <si>
    <t>Jovis den 25 Jany</t>
  </si>
  <si>
    <t>NL-HaNA_3852_0318-page-635-col-0-tr-1-line-0</t>
  </si>
  <si>
    <t>Mercurii den 24 Juny</t>
  </si>
  <si>
    <t>Veneris den 26 Jany</t>
  </si>
  <si>
    <t>1752-09-24</t>
  </si>
  <si>
    <t>NL-HaNA_3807_0401-page-800-col-1-tr-1-line-0</t>
  </si>
  <si>
    <t>Lune den 25 September</t>
  </si>
  <si>
    <t>1727-10-22</t>
  </si>
  <si>
    <t>Mercurii den 22. Oftobe</t>
  </si>
  <si>
    <t>NL-HaNA_3782_0441-page-880-col-1-tr-1-line-0</t>
  </si>
  <si>
    <t>Jovis den 23. Octobe</t>
  </si>
  <si>
    <t>1765-05-11</t>
  </si>
  <si>
    <t>NL-HaNA_3820_0230-page-458-col-1-tr-1-line-0</t>
  </si>
  <si>
    <t>Venerir den 10 Mey</t>
  </si>
  <si>
    <t>Domina den 12 Mey</t>
  </si>
  <si>
    <t>1722-08-16</t>
  </si>
  <si>
    <t>NL-HaNA_3777_0331-page-660-col-0-tr-1-line-0</t>
  </si>
  <si>
    <t>Sabbathi den 15. August</t>
  </si>
  <si>
    <t>Lune den 17. Angufli</t>
  </si>
  <si>
    <t>1760-11-05</t>
  </si>
  <si>
    <t>Mercurii den s November</t>
  </si>
  <si>
    <t>NL-HaNA_3815_0459-page-917-col-0-tr-1-line-0</t>
  </si>
  <si>
    <t>Martis den 4 November</t>
  </si>
  <si>
    <t>1709-04-23</t>
  </si>
  <si>
    <t>Martis den 23. Apri</t>
  </si>
  <si>
    <t>NL-HaNA_3764_0230-page-458-col-1-tr-1-line-0</t>
  </si>
  <si>
    <t>Luna den 22. April</t>
  </si>
  <si>
    <t>Mercurii den 24. Apri</t>
  </si>
  <si>
    <t>1732-11-09</t>
  </si>
  <si>
    <t>NL-HaNA_3787_0362-page-723-col-0-tr-1-line-0</t>
  </si>
  <si>
    <t>Sabbath den 8. November</t>
  </si>
  <si>
    <t>Lune den 10. November</t>
  </si>
  <si>
    <t>1767-04-10</t>
  </si>
  <si>
    <t>Veneris den 10 April</t>
  </si>
  <si>
    <t>NL-HaNA_3822_0179-page-356-col-1-tr-1-line-0</t>
  </si>
  <si>
    <t>Jovis den 9 April</t>
  </si>
  <si>
    <t>Lane den 13 April</t>
  </si>
  <si>
    <t>1790-07-13</t>
  </si>
  <si>
    <t>Martis den 13 July</t>
  </si>
  <si>
    <t>NL-HaNA_3853_0327-page-652-col-3-tr-2-line-0</t>
  </si>
  <si>
    <t>Lane den 12 July</t>
  </si>
  <si>
    <t>oercurii den 14 7aul</t>
  </si>
  <si>
    <t>1738-12-25</t>
  </si>
  <si>
    <t>NL-HaNA_3793_0410-page-819-col-0-tr-1-line-0</t>
  </si>
  <si>
    <t>Mercuri den 24 December</t>
  </si>
  <si>
    <t>Sabbatbi den 27 ‘Decembe</t>
  </si>
  <si>
    <t>1750-02-23</t>
  </si>
  <si>
    <t>Lane den 23 February</t>
  </si>
  <si>
    <t>NL-HaNA_3805_0100-page-198-col-0-tr-1-line-0</t>
  </si>
  <si>
    <t>Sabbatthi den 21 February</t>
  </si>
  <si>
    <t>Martig’den 24 February.</t>
  </si>
  <si>
    <t>1717-09-20</t>
  </si>
  <si>
    <t>Luna den 20. September</t>
  </si>
  <si>
    <t>NL-HaNA_3772_0432-page-863-col-0-tr-1-line-0</t>
  </si>
  <si>
    <t>Sabbat hi den 18. Septemb</t>
  </si>
  <si>
    <t>Martis den 21. Septembe</t>
  </si>
  <si>
    <t>1767-04-13</t>
  </si>
  <si>
    <t>NL-HaNA_3822_0180-page-358-col-0-tr-1-line-1</t>
  </si>
  <si>
    <t>1728-05-03</t>
  </si>
  <si>
    <t>Lane den 3. Mey</t>
  </si>
  <si>
    <t>NL-HaNA_3783_0214-page-426-col-1-tr-1-line-0</t>
  </si>
  <si>
    <t>Martis den 4, Me</t>
  </si>
  <si>
    <t>1705-11-07</t>
  </si>
  <si>
    <t>Sabbath den 7. November</t>
  </si>
  <si>
    <t>NL-HaNA_3760_0649-page-1296-col-0-tr-1-line-15</t>
  </si>
  <si>
    <t>Veneris den '6. Novemb</t>
  </si>
  <si>
    <t>Luna den 9. November</t>
  </si>
  <si>
    <t>1776-02-26</t>
  </si>
  <si>
    <t>Lane den 26 February</t>
  </si>
  <si>
    <t>NL-HaNA_3831_0157-page-312-col-0-tr-0-line-0</t>
  </si>
  <si>
    <t>Veneris den 23 February</t>
  </si>
  <si>
    <t>Martis den 27 bebruary</t>
  </si>
  <si>
    <t>1753-07-14</t>
  </si>
  <si>
    <t>Sabatthi den 14 July</t>
  </si>
  <si>
    <t>NL-HaNA_3808_0285-page-568-col-1-tr-1-line-0</t>
  </si>
  <si>
    <t>Veneris den 13 Jaly</t>
  </si>
  <si>
    <t>Luna den 16 July</t>
  </si>
  <si>
    <t>1726-03-06</t>
  </si>
  <si>
    <t>Mercurii den 6. Maar</t>
  </si>
  <si>
    <t>NL-HaNA_3781_0117-page-232-col-0-tr-0-line-26</t>
  </si>
  <si>
    <t>Martis aen 5. Maar</t>
  </si>
  <si>
    <t>Jovis den 7. Maar</t>
  </si>
  <si>
    <t>1722-06-01</t>
  </si>
  <si>
    <t>Lune den 1. Funii</t>
  </si>
  <si>
    <t>NL-HaNA_3777_0238-page-474-col-1-tr-1-line-0</t>
  </si>
  <si>
    <t>Sabbathi den 30. Me</t>
  </si>
  <si>
    <t>Martis den 2. Jani</t>
  </si>
  <si>
    <t>1734-04-17</t>
  </si>
  <si>
    <t>Sabbathiì den 17. Apr</t>
  </si>
  <si>
    <t>NL-HaNA_3789_0134-page-266-col-1-tr-1-line-0</t>
  </si>
  <si>
    <t>Domeris den 16. April</t>
  </si>
  <si>
    <t>1767-04-30</t>
  </si>
  <si>
    <t>Jovis den 30 April</t>
  </si>
  <si>
    <t>NL-HaNA_3822_0207-page-413-col-1-tr-1-line-0</t>
  </si>
  <si>
    <t>Mercurii den 29 April</t>
  </si>
  <si>
    <t>Veneris den 1 Mey</t>
  </si>
  <si>
    <t>1782-08-26</t>
  </si>
  <si>
    <t>Lune den 26 Auausty</t>
  </si>
  <si>
    <t>NL-HaNA_3839_0084-page-167-col-1-tr-2-line-0</t>
  </si>
  <si>
    <t>Veneris den 23 Augusty</t>
  </si>
  <si>
    <t>Martis den 25 Auigify</t>
  </si>
  <si>
    <t>1746-08-06</t>
  </si>
  <si>
    <t>Sabbathi den 6 Angufty</t>
  </si>
  <si>
    <t>NL-HaNA_3801_0340-page-679-col-1-tr-1-line-0</t>
  </si>
  <si>
    <t>Veneris den 5 Angusty</t>
  </si>
  <si>
    <t>Luna den 8 Augusty</t>
  </si>
  <si>
    <t>1743-11-18</t>
  </si>
  <si>
    <t>Tune den 18 November</t>
  </si>
  <si>
    <t>NL-HaNA_3798_0339-page-676-col-0-tr-1-line-0</t>
  </si>
  <si>
    <t>Sabbathi den 16 November</t>
  </si>
  <si>
    <t>artis den 19 November</t>
  </si>
  <si>
    <t>1773-05-03</t>
  </si>
  <si>
    <t>Lune den 3 Mey</t>
  </si>
  <si>
    <t>NL-HaNA_3828_0224-page-446-col-1-tr-2-line-0</t>
  </si>
  <si>
    <t>Veneris den 30 April</t>
  </si>
  <si>
    <t>Martis den 4 Mey</t>
  </si>
  <si>
    <t>1756-03-04</t>
  </si>
  <si>
    <t>Jovis den 4 Maart</t>
  </si>
  <si>
    <t>NL-HaNA_3811_0115-page-229-col-1-tr-2-line-0</t>
  </si>
  <si>
    <t>Mercuri den 3 Maart</t>
  </si>
  <si>
    <t>Penetissdens Maart:</t>
  </si>
  <si>
    <t>1713-07-29</t>
  </si>
  <si>
    <t>Sabbathi den 29. Tal</t>
  </si>
  <si>
    <t>NL-HaNA_3768_0484-page-967-col-0-tr-2-line-0</t>
  </si>
  <si>
    <t>Lune den 31. Juli</t>
  </si>
  <si>
    <t>1763-10-06</t>
  </si>
  <si>
    <t>Tovis den 6 Oftober</t>
  </si>
  <si>
    <t>NL-HaNA_3818_0398-page-794-col-0-tr-0-line-0</t>
  </si>
  <si>
    <t>Mercuri den 5 Oftober</t>
  </si>
  <si>
    <t>Veneris den 7 October</t>
  </si>
  <si>
    <t>1779-03-29</t>
  </si>
  <si>
    <t>Lune den 29 Maart</t>
  </si>
  <si>
    <t>NL-HaNA_3834_0222-page-442-col-1-tr-0-line-6</t>
  </si>
  <si>
    <t>Veneris den 26 Maart</t>
  </si>
  <si>
    <t>1741-09-06</t>
  </si>
  <si>
    <t>Jovis den 7 September</t>
  </si>
  <si>
    <t>1775-04-12</t>
  </si>
  <si>
    <t>Mercurii den 12 April</t>
  </si>
  <si>
    <t>NL-HaNA_3830_0212-page-423-col-0-tr-1-line-0</t>
  </si>
  <si>
    <t>Martis den 11 April</t>
  </si>
  <si>
    <t>Tous den 13 April</t>
  </si>
  <si>
    <t>1768-12-18</t>
  </si>
  <si>
    <t>NL-HaNA_3823_0422-page-842-col-0-tr-0-line-6</t>
  </si>
  <si>
    <t>Veneris den 16 Decemier</t>
  </si>
  <si>
    <t>Lune den 19 December</t>
  </si>
  <si>
    <t>1710-04-04</t>
  </si>
  <si>
    <t>Veneris den 4. Apri</t>
  </si>
  <si>
    <t>NL-HaNA_3765_0222-page-442-col-0-tr-2-line-0</t>
  </si>
  <si>
    <t>Sabbathi den 5. Apri</t>
  </si>
  <si>
    <t>1788-07-11</t>
  </si>
  <si>
    <t>Veneris den 11 July</t>
  </si>
  <si>
    <t>NL-HaNA_3851_0023-page-45-col-1-tr-0-line-0</t>
  </si>
  <si>
    <t>Jovis den 10 Jul</t>
  </si>
  <si>
    <t>Dominica den 13 July</t>
  </si>
  <si>
    <t>1789-05-25</t>
  </si>
  <si>
    <t>Lune den 25 Mey</t>
  </si>
  <si>
    <t>NL-HaNA_3852_0280-page-559-col-1-tr-2-line-0</t>
  </si>
  <si>
    <t>Veneris den 22 Mey</t>
  </si>
  <si>
    <t>Martis den 26 Mej</t>
  </si>
  <si>
    <t>1769-10-26</t>
  </si>
  <si>
    <t>1779-07-19</t>
  </si>
  <si>
    <t>NL-HaNA_3834_0390-page-779-col-0-tr-1-line-0</t>
  </si>
  <si>
    <t>Wemerts den 16 July</t>
  </si>
  <si>
    <t>1713-01-01</t>
  </si>
  <si>
    <t>NL-HaNA_3768_0030-page-59-col-0-tr-0-line-0</t>
  </si>
  <si>
    <t>Sabbath den 31. December</t>
  </si>
  <si>
    <t>Lune den 2. Januarij</t>
  </si>
  <si>
    <t>1714-07-11</t>
  </si>
  <si>
    <t>Mercurii den 11. Jul</t>
  </si>
  <si>
    <t>NL-HaNA_3769_0397-page-793-col-0-tr-1-line-0</t>
  </si>
  <si>
    <t>Martis den 10. Jul</t>
  </si>
  <si>
    <t>Jovis den 12. Ful</t>
  </si>
  <si>
    <t>1718-03-23</t>
  </si>
  <si>
    <t>Mercuri den 23. Maart</t>
  </si>
  <si>
    <t>NL-HaNA_3773_0166-page-331-col-1-tr-0-line-0</t>
  </si>
  <si>
    <t>Martis den 22. Maar</t>
  </si>
  <si>
    <t>Jovis den 34. Maar</t>
  </si>
  <si>
    <t>1711-11-12</t>
  </si>
  <si>
    <t>Jovis den 12. Novembe</t>
  </si>
  <si>
    <t>NL-HaNA_3766_0691-page-1380-col-1-tr-2-line-0</t>
  </si>
  <si>
    <t>Mercirii den 11. Novembe</t>
  </si>
  <si>
    <t>Venerts den 13. Novembe</t>
  </si>
  <si>
    <t>1736-09-10</t>
  </si>
  <si>
    <t>Lane den 10, September</t>
  </si>
  <si>
    <t>NL-HaNA_3791_0308-page-615-col-1-tr-1-line-0</t>
  </si>
  <si>
    <t>Sabbathì den 8. Septembe</t>
  </si>
  <si>
    <t>Martis den 11, Septembe</t>
  </si>
  <si>
    <t>1776-01-29</t>
  </si>
  <si>
    <t>Lune den 29 January</t>
  </si>
  <si>
    <t>NL-HaNA_3831_0123-page-245-col-0-tr-1-line-0</t>
  </si>
  <si>
    <t>Veneris den 26 January</t>
  </si>
  <si>
    <t>Martis den'30 January</t>
  </si>
  <si>
    <t>1758-09-20</t>
  </si>
  <si>
    <t>Mercurii den 20 September</t>
  </si>
  <si>
    <t>NL-HaNA_3813_0404-page-806-col-0-tr-1-line-20</t>
  </si>
  <si>
    <t>Martis den 19 September</t>
  </si>
  <si>
    <t>Jovis den 21 September</t>
  </si>
  <si>
    <t>1716-02-26</t>
  </si>
  <si>
    <t>Mercuriì den 26. Februari</t>
  </si>
  <si>
    <t>NL-HaNA_3771_0096-page-191-col-1-tr-3-line-0</t>
  </si>
  <si>
    <t>Martis den 25. Februari</t>
  </si>
  <si>
    <t>Jovis den 27. Februari</t>
  </si>
  <si>
    <t>1738-08-15</t>
  </si>
  <si>
    <t>Veneris den 1e. Auvust</t>
  </si>
  <si>
    <t>NL-HaNA_3793_0276-page-550-col-1-tr-3-line-0</t>
  </si>
  <si>
    <t>Jovis den 14. Augnst</t>
  </si>
  <si>
    <t>Sabbatbi den 16. August</t>
  </si>
  <si>
    <t>1777-10-10</t>
  </si>
  <si>
    <t>Jovis den 9 Oftober</t>
  </si>
  <si>
    <t>1766-08-19</t>
  </si>
  <si>
    <t>Martis dei Aucifty-</t>
  </si>
  <si>
    <t>NL-HaNA_3821_0324-page-647-col-0-tr-0-line-28</t>
  </si>
  <si>
    <t>Doninca den 17 Ateijfy</t>
  </si>
  <si>
    <t>Mercurii den 20 Angufty</t>
  </si>
  <si>
    <t>1779-05-19</t>
  </si>
  <si>
    <t>Mercurii den 19 Mey</t>
  </si>
  <si>
    <t>NL-HaNA_3834_0299-page-597-col-1-tr-2-line-0</t>
  </si>
  <si>
    <t>Jovis den 20 Mey</t>
  </si>
  <si>
    <t>1757-03-02</t>
  </si>
  <si>
    <t>Mercurii den 2 Maart</t>
  </si>
  <si>
    <t>NL-HaNA_3812_0155-page-309-col-1-tr-2-line-0</t>
  </si>
  <si>
    <t>Martis den 1 Maart</t>
  </si>
  <si>
    <t>Jovis den 3 Maart</t>
  </si>
  <si>
    <t>1748-03-25</t>
  </si>
  <si>
    <t>Lun den 25 Maart</t>
  </si>
  <si>
    <t>NL-HaNA_3803_0164-page-327-col-0-tr-2-line-0</t>
  </si>
  <si>
    <t>Sabbathi den 23 Maart</t>
  </si>
  <si>
    <t>1708-03-29</t>
  </si>
  <si>
    <t>Mercuri den 28. Maert</t>
  </si>
  <si>
    <t>Veneris den 30. Maer</t>
  </si>
  <si>
    <t>1759-12-11</t>
  </si>
  <si>
    <t>Martis den 11 December</t>
  </si>
  <si>
    <t>NL-HaNA_3814_0505-page-1009-col-0-tr-1-line-0</t>
  </si>
  <si>
    <t>Luna den 15 December</t>
  </si>
  <si>
    <t>Mercurii den 12 December</t>
  </si>
  <si>
    <t>1707-03-01</t>
  </si>
  <si>
    <t>Mortis den IT. Mae</t>
  </si>
  <si>
    <t>NL-HaNA_3762_0130-page-259-col-0-tr-0-line-17</t>
  </si>
  <si>
    <t>Luna den 28. Februarii</t>
  </si>
  <si>
    <t>Mercuri den 2. Maert</t>
  </si>
  <si>
    <t>1705-11-17</t>
  </si>
  <si>
    <t>Martis den 17. Novembe</t>
  </si>
  <si>
    <t>NL-HaNA_3760_0667-page-1332-col-1-tr-1-line-1</t>
  </si>
  <si>
    <t>Lana den 16. November</t>
  </si>
  <si>
    <t>Mercurii’den 18. Novembe</t>
  </si>
  <si>
    <t>1727-05-24</t>
  </si>
  <si>
    <t>Sabbathi den 24, Me</t>
  </si>
  <si>
    <t>NL-HaNA_3782_0250-page-498-col-0-tr-2-line-0</t>
  </si>
  <si>
    <t>Vencris den 23, Me</t>
  </si>
  <si>
    <t>Lune den 26, Mey</t>
  </si>
  <si>
    <t>1724-12-13</t>
  </si>
  <si>
    <t>Mercuri: den 6. December</t>
  </si>
  <si>
    <t>NL-HaNA_3779_0420-page-838-col-1-tr-2-line-0</t>
  </si>
  <si>
    <t>Moytis den . December</t>
  </si>
  <si>
    <t>Jovis den 7. December</t>
  </si>
  <si>
    <t>1726-03-31</t>
  </si>
  <si>
    <t>NL-HaNA_3781_0152-page-302-col-0-tr-3-line-0</t>
  </si>
  <si>
    <t>Sabbathi den 30, Maar</t>
  </si>
  <si>
    <t>Lune den 1, April</t>
  </si>
  <si>
    <t>1785-01-08</t>
  </si>
  <si>
    <t>NL-HaNA_3844_0127-page-252-col-1-tr-2-line-0</t>
  </si>
  <si>
    <t>Veneris den 7 January</t>
  </si>
  <si>
    <t>Lune den to Jannar</t>
  </si>
  <si>
    <t>1767-04-25</t>
  </si>
  <si>
    <t>NL-HaNA_3822_0200-page-399-col-0-tr-0-line-18</t>
  </si>
  <si>
    <t>Veneris den 24 April</t>
  </si>
  <si>
    <t>Lane den:27 April.</t>
  </si>
  <si>
    <t>1732-05-25</t>
  </si>
  <si>
    <t>NL-HaNA_3787_0207-page-412-col-1-tr-1-line-0</t>
  </si>
  <si>
    <t>Sabbathi den 24. Me</t>
  </si>
  <si>
    <t>Luna den 26, Mey</t>
  </si>
  <si>
    <t>1760-06-19</t>
  </si>
  <si>
    <t>Jovis den 19 Funy</t>
  </si>
  <si>
    <t>NL-HaNA_3815_0299-page-597-col-0-tr-2-line-14</t>
  </si>
  <si>
    <t>Keneris den 20 Juny</t>
  </si>
  <si>
    <t>1769-04-17</t>
  </si>
  <si>
    <t>Lune den 17 April</t>
  </si>
  <si>
    <t>NL-HaNA_3824_0217-page-432-col-1-tr-3-line-0</t>
  </si>
  <si>
    <t>1783-12-29</t>
  </si>
  <si>
    <t>Luua den 29 December</t>
  </si>
  <si>
    <t>NL-HaNA_3841_0273-page-544-col-0-tr-1-line-0</t>
  </si>
  <si>
    <t>Mouris don 10 December</t>
  </si>
  <si>
    <t>1759-03-26</t>
  </si>
  <si>
    <t>Lune den 26 Maart</t>
  </si>
  <si>
    <t>NL-HaNA_3814_0195-page-389-col-0-tr-1-line-2</t>
  </si>
  <si>
    <t>Veneris den 23 Maart</t>
  </si>
  <si>
    <t>Martis den 27 Maart</t>
  </si>
  <si>
    <t>1789-12-01</t>
  </si>
  <si>
    <t>NL-HaNA_3852_0525-page-1048-col-1-tr-2-line-0</t>
  </si>
  <si>
    <t>Lune den 20 November</t>
  </si>
  <si>
    <t>Mercarii den 21° Dzcemb</t>
  </si>
  <si>
    <t>1722-12-23</t>
  </si>
  <si>
    <t>Martis den 22. Decembe</t>
  </si>
  <si>
    <t>1746-10-22</t>
  </si>
  <si>
    <t>Sabbathi den 22 October</t>
  </si>
  <si>
    <t>NL-HaNA_3801_0429-page-856-col-0-tr-0-line-0</t>
  </si>
  <si>
    <t>Veneris den 21 October</t>
  </si>
  <si>
    <t>1764-10-05</t>
  </si>
  <si>
    <t>NL-HaNA_3819_0409-page-816-col-1-tr-0-line-0</t>
  </si>
  <si>
    <t>Tovis den 4 Odtober</t>
  </si>
  <si>
    <t>Luna den 8 Oftober</t>
  </si>
  <si>
    <t>1791-08-08</t>
  </si>
  <si>
    <t>Lune den 8 Augufty</t>
  </si>
  <si>
    <t>NL-HaNA_3855_0046-page-90-col-0-tr-1-line-0</t>
  </si>
  <si>
    <t>Veneris den 5 Augufty</t>
  </si>
  <si>
    <t>Martis den 9 Augufty</t>
  </si>
  <si>
    <t>1737-08-17</t>
  </si>
  <si>
    <t>Sabbathi den 17. August</t>
  </si>
  <si>
    <t>NL-HaNA_3792_0230-page-459-col-0-tr-2-line-0</t>
  </si>
  <si>
    <t>Veneris den 16. Augnst</t>
  </si>
  <si>
    <t>Lune den 19. Augusty</t>
  </si>
  <si>
    <t>1726-06-18</t>
  </si>
  <si>
    <t>Martis den 18. Junt</t>
  </si>
  <si>
    <t>NL-HaNA_3781_0256-page-510-col-0-tr-0-line-0</t>
  </si>
  <si>
    <t>Lune den 17. Junit</t>
  </si>
  <si>
    <t>Mercurii den 19. Juni</t>
  </si>
  <si>
    <t>1726-10-25</t>
  </si>
  <si>
    <t>Veneris den 25. Octobe</t>
  </si>
  <si>
    <t>NL-HaNA_3781_0422-page-843-col-0-tr-2-line-0</t>
  </si>
  <si>
    <t>Jovis den 24. Octobe</t>
  </si>
  <si>
    <t>Sabbathi den 26. Octobe</t>
  </si>
  <si>
    <t>1753-01-11</t>
  </si>
  <si>
    <t>Jovis den 11 January</t>
  </si>
  <si>
    <t>NL-HaNA_3808_0073-page-144-col-1-tr-0-line-54</t>
  </si>
  <si>
    <t>Mercurit den 10 January</t>
  </si>
  <si>
    <t>Von ore den 12 January</t>
  </si>
  <si>
    <t>1785-09-15</t>
  </si>
  <si>
    <t>Jovis den 15 Settember</t>
  </si>
  <si>
    <t>NL-HaNA_3845_0146-page-291-col-1-tr-2-line-0</t>
  </si>
  <si>
    <t>Merrurii den va September</t>
  </si>
  <si>
    <t>Veneris den 16 September</t>
  </si>
  <si>
    <t>1755-12-08</t>
  </si>
  <si>
    <t>Lune den 8 Derember</t>
  </si>
  <si>
    <t>NL-HaNA_3810_0415-page-829-col-1-tr-3-line-0</t>
  </si>
  <si>
    <t>Veneris den 5 December</t>
  </si>
  <si>
    <t>Martis den 9 December</t>
  </si>
  <si>
    <t>1758-02-10</t>
  </si>
  <si>
    <t>Veneris den 10 February</t>
  </si>
  <si>
    <t>NL-HaNA_3813_0133-page-265-col-1-tr-2-line-0</t>
  </si>
  <si>
    <t>Jovis den o February</t>
  </si>
  <si>
    <t xml:space="preserve">Lune den 13 February </t>
  </si>
  <si>
    <t>1719-08-07</t>
  </si>
  <si>
    <t>Lune den 7. Angu[ti</t>
  </si>
  <si>
    <t>NL-HaNA_3774_0357-page-712-col-0-tr-1-line-0</t>
  </si>
  <si>
    <t>Sabbathi den 5. Augtft</t>
  </si>
  <si>
    <t>Martis den 3. Angnft</t>
  </si>
  <si>
    <t>1746-06-18</t>
  </si>
  <si>
    <t>Lune den 20 Jany</t>
  </si>
  <si>
    <t>1729-04-08</t>
  </si>
  <si>
    <t>Veneris den 8, Apri</t>
  </si>
  <si>
    <t>NL-HaNA_3784_0158-page-315-col-0-tr-0-line-0</t>
  </si>
  <si>
    <t>Fovit den 7, Apri</t>
  </si>
  <si>
    <t>Sabbathi den 9. Apri</t>
  </si>
  <si>
    <t>1785-02-09</t>
  </si>
  <si>
    <t>Mercurii den 9 February</t>
  </si>
  <si>
    <t>NL-HaNA_3844_0188-page-374-col-0-tr-2-line-0</t>
  </si>
  <si>
    <t>Martis den © February</t>
  </si>
  <si>
    <t>Jovis den 10 February</t>
  </si>
  <si>
    <t>1761-09-27</t>
  </si>
  <si>
    <t>NL-HaNA_3816_0404-page-806-col-1-tr-1-line-0</t>
  </si>
  <si>
    <t>Veneris den 25 September</t>
  </si>
  <si>
    <t>Lune den 28 September</t>
  </si>
  <si>
    <t>1767-06-08</t>
  </si>
  <si>
    <t>NL-HaNA_3822_0260-page-518-col-1-tr-1-line-0</t>
  </si>
  <si>
    <t>Veneris den s Juny</t>
  </si>
  <si>
    <t>Martis den 9 Juny</t>
  </si>
  <si>
    <t>1743-02-24</t>
  </si>
  <si>
    <t>NL-HaNA_3798_0097-page-192-col-0-tr-1-line-1</t>
  </si>
  <si>
    <t>Sabbathi den 23 February</t>
  </si>
  <si>
    <t>Dominira den 24 February</t>
  </si>
  <si>
    <t>1772-05-22</t>
  </si>
  <si>
    <t>NL-HaNA_3827_0280-page-558-col-1-tr-1-line-0</t>
  </si>
  <si>
    <t>Jovis den 21 Mey</t>
  </si>
  <si>
    <t>1762-03-28</t>
  </si>
  <si>
    <t>NL-HaNA_3817_0196-page-390-col-0-tr-1-line-1</t>
  </si>
  <si>
    <t>Luna den 29 Maart</t>
  </si>
  <si>
    <t>1729-03-23</t>
  </si>
  <si>
    <t>NL-HaNA_3784_0135-page-268-col-0-tr-0-line-0</t>
  </si>
  <si>
    <t>Jovis den 24. Maar</t>
  </si>
  <si>
    <t>1746-06-04</t>
  </si>
  <si>
    <t>Sabbathi den 4 Juny</t>
  </si>
  <si>
    <t>NL-HaNA_3801_0253-page-505-col-0-tr-3-line-0</t>
  </si>
  <si>
    <t>Veneris den 3 Juny</t>
  </si>
  <si>
    <t>Lana den 6 Juny</t>
  </si>
  <si>
    <t>1777-09-08</t>
  </si>
  <si>
    <t>Lane den $ September</t>
  </si>
  <si>
    <t>NL-HaNA_3832_0406-page-811-col-0-tr-1-line-25</t>
  </si>
  <si>
    <t>denerss den 5 September</t>
  </si>
  <si>
    <t>Martis den-9 September</t>
  </si>
  <si>
    <t>1789-12-13</t>
  </si>
  <si>
    <t>NL-HaNA_3852_0546-page-1091-col-1-tr-2-line-0</t>
  </si>
  <si>
    <t>Veneris den 11 December</t>
  </si>
  <si>
    <t>Lane den v4 December</t>
  </si>
  <si>
    <t>1792-03-24</t>
  </si>
  <si>
    <t>NL-HaNA_3856_0217-page-433-col-0-tr-0-line-0</t>
  </si>
  <si>
    <t>1751-04-24</t>
  </si>
  <si>
    <t>Sabbattbi den 24 Apri</t>
  </si>
  <si>
    <t>NL-HaNA_3806_0176-page-351-col-0-tr-1-line-0</t>
  </si>
  <si>
    <t>Veneris den 23 April</t>
  </si>
  <si>
    <t>Dominica den:25 April</t>
  </si>
  <si>
    <t>1711-02-08</t>
  </si>
  <si>
    <t>NL-HaNA_3766_0113-page-224-col-1-tr-3-line-0</t>
  </si>
  <si>
    <t>Sabbathi den 7. Februari</t>
  </si>
  <si>
    <t>Lune den 9. Februari</t>
  </si>
  <si>
    <t>1756-08-14</t>
  </si>
  <si>
    <t>NL-HaNA_3811_0284-page-566-col-1-tr-0-line-36</t>
  </si>
  <si>
    <t>Veneris: den13 Angi:</t>
  </si>
  <si>
    <t>Lune den 16 Augusty.</t>
  </si>
  <si>
    <t>1754-04-20</t>
  </si>
  <si>
    <t>NL-HaNA_3809_0178-page-355-col-1-tr-2-line-0</t>
  </si>
  <si>
    <t>Veneris den 19 April</t>
  </si>
  <si>
    <t>Lune den 22 April</t>
  </si>
  <si>
    <t>1728-11-21</t>
  </si>
  <si>
    <t>NL-HaNA_3783_0490-page-978-col-0-tr-2-line-0</t>
  </si>
  <si>
    <t>Lane den 22. November</t>
  </si>
  <si>
    <t>1763-04-07</t>
  </si>
  <si>
    <t>Tovis den 3 April</t>
  </si>
  <si>
    <t>NL-HaNA_3818_0182-page-362-col-1-tr-0-line-18</t>
  </si>
  <si>
    <t>Mercurti den 6 April</t>
  </si>
  <si>
    <t>Veneris den 8 April</t>
  </si>
  <si>
    <t>1754-07-18</t>
  </si>
  <si>
    <t>Veneris den 19 Juh</t>
  </si>
  <si>
    <t>1760-05-19</t>
  </si>
  <si>
    <t>Lune den 19 Mey</t>
  </si>
  <si>
    <t>NL-HaNA_3815_0243-page-484-col-1-tr-0-line-5</t>
  </si>
  <si>
    <t>Jovis den 15 Mey</t>
  </si>
  <si>
    <t>Martis den 20 Mey</t>
  </si>
  <si>
    <t>1787-05-08</t>
  </si>
  <si>
    <t>Martis den 8 Mey</t>
  </si>
  <si>
    <t>NL-HaNA_3848_0326-page-650-col-1-tr-1-line-0</t>
  </si>
  <si>
    <t>Lune den 7 Mey</t>
  </si>
  <si>
    <t>Mercurii deng Mey</t>
  </si>
  <si>
    <t>1767-09-01</t>
  </si>
  <si>
    <t>Martis den 1 September</t>
  </si>
  <si>
    <t>NL-HaNA_3822_0347-page-693-col-1-tr-1-line-0</t>
  </si>
  <si>
    <t>Dominica. den 30 Auguft</t>
  </si>
  <si>
    <t>Merturii den 2 September</t>
  </si>
  <si>
    <t>1727-10-07</t>
  </si>
  <si>
    <t>Martis den 7. Octobe</t>
  </si>
  <si>
    <t>NL-HaNA_3782_0425-page-849-col-0-tr-1-line-0</t>
  </si>
  <si>
    <t>Luna den 6. October</t>
  </si>
  <si>
    <t>Mercurii den 8. Oetobe</t>
  </si>
  <si>
    <t>1730-11-24</t>
  </si>
  <si>
    <t>Veneris den 24. Novembe</t>
  </si>
  <si>
    <t>NL-HaNA_3785_0407-page-813-col-1-tr-1-line-0</t>
  </si>
  <si>
    <t>Jovis den 23, Novembe</t>
  </si>
  <si>
    <t>Sabbathi den 25. Novembe</t>
  </si>
  <si>
    <t>1718-12-30</t>
  </si>
  <si>
    <t>Veneris den 20. Decemke</t>
  </si>
  <si>
    <t>NL-HaNA_3773_0602-page-1203-col-0-tr-1-line-0</t>
  </si>
  <si>
    <t>Jovis den 29. Decembe</t>
  </si>
  <si>
    <t>1711-12-30</t>
  </si>
  <si>
    <t>Mercuri den 30. December</t>
  </si>
  <si>
    <t>NL-HaNA_3766_0796-page-1590-col-2-tr-2-line-0</t>
  </si>
  <si>
    <t>Martis den 219. Decemb</t>
  </si>
  <si>
    <t>Jovis den 31. Decembe</t>
  </si>
  <si>
    <t>1705-06-10</t>
  </si>
  <si>
    <t>Hovis den Tr. Juni</t>
  </si>
  <si>
    <t>1790-01-23</t>
  </si>
  <si>
    <t>NL-HaNA_3853_0114-page-226-col-0-tr-2-line-0</t>
  </si>
  <si>
    <t>Veneris den 22 January</t>
  </si>
  <si>
    <t>Lune den 25 January</t>
  </si>
  <si>
    <t>1762-10-18</t>
  </si>
  <si>
    <t xml:space="preserve">Lune den 18 October </t>
  </si>
  <si>
    <t>NL-HaNA_3817_0433-page-865-col-0-tr-0-line-47</t>
  </si>
  <si>
    <t>1758-05-06</t>
  </si>
  <si>
    <t>NL-HaNA_3813_0229-page-456-col-0-tr-1-line-10</t>
  </si>
  <si>
    <t>Veneris den s Mey</t>
  </si>
  <si>
    <t>Lune den 8 Mey</t>
  </si>
  <si>
    <t>1745-09-21</t>
  </si>
  <si>
    <t>Martis den 21 September</t>
  </si>
  <si>
    <t>NL-HaNA_3800_0395-page-788-col-0-tr-1-line-0</t>
  </si>
  <si>
    <t>Lana den 20 September</t>
  </si>
  <si>
    <t>Mercurii den 22 September</t>
  </si>
  <si>
    <t>1742-09-05</t>
  </si>
  <si>
    <t>Mercurii den 5 September</t>
  </si>
  <si>
    <t>NL-HaNA_3797_0359-page-717-col-0-tr-3-line-0</t>
  </si>
  <si>
    <t>Jovis den 6 September</t>
  </si>
  <si>
    <t>1748-09-12</t>
  </si>
  <si>
    <t>Jovis den 12 September</t>
  </si>
  <si>
    <t>NL-HaNA_3803_0358-page-714-col-1-tr-2-line-0</t>
  </si>
  <si>
    <t>Veneris den 13 September</t>
  </si>
  <si>
    <t>1721-02-23</t>
  </si>
  <si>
    <t>NL-HaNA_3776_0110-page-219-col-1-tr-1-line-0</t>
  </si>
  <si>
    <t>Sabbathi den 22. Februari</t>
  </si>
  <si>
    <t>Lune den 24. Februarii</t>
  </si>
  <si>
    <t>1774-12-01</t>
  </si>
  <si>
    <t>Tou:s den 1 December</t>
  </si>
  <si>
    <t>NL-HaNA_3829_0445-page-889-col-2-tr-1-line-0</t>
  </si>
  <si>
    <t>Mercurii den 30 Novembei</t>
  </si>
  <si>
    <t>Veneris den 2 December</t>
  </si>
  <si>
    <t>1749-05-02</t>
  </si>
  <si>
    <t>Veneris den 2 Mey</t>
  </si>
  <si>
    <t>NL-HaNA_3804_0198-page-395-col-1-tr-0-line-10</t>
  </si>
  <si>
    <t>Jovis den 1 Mey</t>
  </si>
  <si>
    <t>Sabbatthi den 3 Me</t>
  </si>
  <si>
    <t>1739-12-20</t>
  </si>
  <si>
    <t>NL-HaNA_3794_0394-page-786-col-1-tr-2-line-0</t>
  </si>
  <si>
    <t>Sabbatbi den 10 December</t>
  </si>
  <si>
    <t>Lune den 21 December</t>
  </si>
  <si>
    <t>1764-02-14</t>
  </si>
  <si>
    <t>Martis den 14 February</t>
  </si>
  <si>
    <t>NL-HaNA_3819_0125-page-249-col-0-tr-2-line-0</t>
  </si>
  <si>
    <t>Lune den 13 February</t>
  </si>
  <si>
    <t>Mercurii den 15 February</t>
  </si>
  <si>
    <t>1732-11-27</t>
  </si>
  <si>
    <t>Jovis den 27. Novembe</t>
  </si>
  <si>
    <t>NL-HaNA_3787_0377-page-752-col-1-tr-1-line-0</t>
  </si>
  <si>
    <t>Mercurii den 26. Novembe</t>
  </si>
  <si>
    <t>Veneris den 23, Novembe</t>
  </si>
  <si>
    <t>1782-11-28</t>
  </si>
  <si>
    <t>NL-HaNA_3839_0244-page-486-col-0-tr-1-line-26</t>
  </si>
  <si>
    <t>Mercuvii den 2 November</t>
  </si>
  <si>
    <t>Vonoris den 29 November</t>
  </si>
  <si>
    <t>1708-02-25</t>
  </si>
  <si>
    <t xml:space="preserve">Sabbathi den 2. Februari </t>
  </si>
  <si>
    <t>NL-HaNA_3763_0105-page-209-col-0-tr-1-line-0</t>
  </si>
  <si>
    <t>Veneris den 24. Februari</t>
  </si>
  <si>
    <t>Luna den 27. Februarii</t>
  </si>
  <si>
    <t>1777-01-06</t>
  </si>
  <si>
    <t>Lune den 6 January</t>
  </si>
  <si>
    <t>NL-HaNA_3832_0094-page-187-col-1-tr-1-line-0</t>
  </si>
  <si>
    <t>Wemeris den "3 Januar</t>
  </si>
  <si>
    <t>Martis den 7 January</t>
  </si>
  <si>
    <t>1793-04-25</t>
  </si>
  <si>
    <t>Jovis den 25 April</t>
  </si>
  <si>
    <t>NL-HaNA_3858_0266-page-531-col-0-tr-2-line-0</t>
  </si>
  <si>
    <t>Mercurii den 24 April</t>
  </si>
  <si>
    <t>Heneris den 26 Aprit</t>
  </si>
  <si>
    <t>1747-04-09</t>
  </si>
  <si>
    <t>NL-HaNA_3802_0177-page-353-col-0-tr-1-line-0</t>
  </si>
  <si>
    <t>Luna den 10 April</t>
  </si>
  <si>
    <t>1763-04-08</t>
  </si>
  <si>
    <t>NL-HaNA_3818_0187-page-372-col-0-tr-1-line-0</t>
  </si>
  <si>
    <t>Langden 1x Aprili</t>
  </si>
  <si>
    <t>1741-02-19</t>
  </si>
  <si>
    <t>NL-HaNA_3796_0114-page-226-col-0-tr-1-line-0</t>
  </si>
  <si>
    <t>Sabbathì den 18 February</t>
  </si>
  <si>
    <t>1765-05-01</t>
  </si>
  <si>
    <t>Mercuri den 1 Mey</t>
  </si>
  <si>
    <t>NL-HaNA_3820_0217-page-433-col-0-tr-1-line-0</t>
  </si>
  <si>
    <t>Jovis den 2 Mey</t>
  </si>
  <si>
    <t>1705-10-21</t>
  </si>
  <si>
    <t xml:space="preserve">Mercuri den 21. Ofobek </t>
  </si>
  <si>
    <t>NL-HaNA_3760_0613-page-1224-col-0-tr-1-line-1</t>
  </si>
  <si>
    <t>Martis den 20. Octobe</t>
  </si>
  <si>
    <t>Aovis den 22. Odobet</t>
  </si>
  <si>
    <t>1726-11-30</t>
  </si>
  <si>
    <t>NL-HaNA_3781_0475-page-949-col-1-tr-1-line-1</t>
  </si>
  <si>
    <t>Veneris den 29. Novembe</t>
  </si>
  <si>
    <t>Lana den 2. December</t>
  </si>
  <si>
    <t>1758-06-04</t>
  </si>
  <si>
    <t>NL-HaNA_3813_0271-page-541-col-1-tr-1-line-0</t>
  </si>
  <si>
    <t>Veneris den 2 Jany</t>
  </si>
  <si>
    <t>Lune den 5 Juny</t>
  </si>
  <si>
    <t>1710-05-14</t>
  </si>
  <si>
    <t>unknown_holiday_phrase</t>
  </si>
  <si>
    <t>Martis den 13. Me</t>
  </si>
  <si>
    <t>Fovis den 15. Me</t>
  </si>
  <si>
    <t>1767-09-20</t>
  </si>
  <si>
    <t>NL-HaNA_3822_0364-page-727-col-0-tr-0-line-0</t>
  </si>
  <si>
    <t>Veneris den 18 September</t>
  </si>
  <si>
    <t>Lune den 21 September</t>
  </si>
  <si>
    <t>1759-09-01</t>
  </si>
  <si>
    <t>NL-HaNA_3814_0385-page-768-col-1-tr-1-line-30</t>
  </si>
  <si>
    <t>Veneris den 31 Aucufty</t>
  </si>
  <si>
    <t>Lane ‘den 3 September</t>
  </si>
  <si>
    <t>1746-06-29</t>
  </si>
  <si>
    <t>Mercurii den 29 JFuny</t>
  </si>
  <si>
    <t>NL-HaNA_3801_0286-page-570-col-0-tr-1-line-0</t>
  </si>
  <si>
    <t>Martis den 28 Juny</t>
  </si>
  <si>
    <t>Jovis den 30 Juny</t>
  </si>
  <si>
    <t>1736-05-31</t>
  </si>
  <si>
    <t>Jovis den 31. Me</t>
  </si>
  <si>
    <t>NL-HaNA_3791_0202-page-402-col-1-tr-1-line-0</t>
  </si>
  <si>
    <t>Mercurii den 30. Me</t>
  </si>
  <si>
    <t>Veneris den 1, Jany</t>
  </si>
  <si>
    <t>1732-02-09</t>
  </si>
  <si>
    <t>Lune den 11. ebrnarii</t>
  </si>
  <si>
    <t>1716-01-11</t>
  </si>
  <si>
    <t>Sabbathi den 11. Fanuari</t>
  </si>
  <si>
    <t>NL-HaNA_3771_0038-page-75-col-0-tr-1-line-0</t>
  </si>
  <si>
    <t>Veneris den 10. Januari</t>
  </si>
  <si>
    <t>Lane den 13. Janaartu</t>
  </si>
  <si>
    <t>1775-04-05</t>
  </si>
  <si>
    <t>Mercurii den s April</t>
  </si>
  <si>
    <t>NL-HaNA_3830_0201-page-400-col-0-tr-0-line-20</t>
  </si>
  <si>
    <t>Martis den 4 April</t>
  </si>
  <si>
    <t>Jous den 6 April</t>
  </si>
  <si>
    <t>1786-12-31</t>
  </si>
  <si>
    <t>Veneris den 29 December</t>
  </si>
  <si>
    <t>1791-12-04</t>
  </si>
  <si>
    <t>NL-HaNA_3855_0222-page-443-col-0-tr-1-line-0</t>
  </si>
  <si>
    <t>Vencris den 2 December</t>
  </si>
  <si>
    <t>Lane den 5 December</t>
  </si>
  <si>
    <t>1746-07-29</t>
  </si>
  <si>
    <t>Venerls den 29 July</t>
  </si>
  <si>
    <t>NL-HaNA_3801_0327-page-652-col-1-tr-2-line-0</t>
  </si>
  <si>
    <t>Jovis den 28 July</t>
  </si>
  <si>
    <t>Sabbathi den 30 July</t>
  </si>
  <si>
    <t>1778-06-24</t>
  </si>
  <si>
    <t>Mercurii den 24 Jans</t>
  </si>
  <si>
    <t>NL-HaNA_3833_0338-page-675-col-1-tr-1-line-0</t>
  </si>
  <si>
    <t>Martis den 33 Juny</t>
  </si>
  <si>
    <t>1761-07-10</t>
  </si>
  <si>
    <t>Dominia den. 12 Fuly</t>
  </si>
  <si>
    <t>1717-02-18</t>
  </si>
  <si>
    <t>Jovis den 18. Februari</t>
  </si>
  <si>
    <t>NL-HaNA_3772_0102-page-202-col-0-tr-3-line-0</t>
  </si>
  <si>
    <t>Mercurii den 17. Februari</t>
  </si>
  <si>
    <t>Veneris den 19. Februari</t>
  </si>
  <si>
    <t>1717-07-11</t>
  </si>
  <si>
    <t>NL-HaNA_3772_0336-page-670-col-1-tr-3-line-0</t>
  </si>
  <si>
    <t>Sabbathi den to. Jul</t>
  </si>
  <si>
    <t>Lune den 12. Jali</t>
  </si>
  <si>
    <t>1729-09-24</t>
  </si>
  <si>
    <t>Sabbathi den 24, Septembe</t>
  </si>
  <si>
    <t>NL-HaNA_3784_0348-page-695-col-1-tr-1-line-0</t>
  </si>
  <si>
    <t>Lune den 26. September</t>
  </si>
  <si>
    <t>1744-02-09</t>
  </si>
  <si>
    <t>NL-HaNA_3799_0094-page-187-col-0-tr-0-line-0</t>
  </si>
  <si>
    <t>1771-03-19</t>
  </si>
  <si>
    <t>Luna den 18 Maart</t>
  </si>
  <si>
    <t>Mercurti den 20 Maart</t>
  </si>
  <si>
    <t>1791-07-16</t>
  </si>
  <si>
    <t>NL-HaNA_3855_0020-page-38-col-1-tr-1-line-0</t>
  </si>
  <si>
    <t>Veneris den 15 July</t>
  </si>
  <si>
    <t>Domiaica den 17 July</t>
  </si>
  <si>
    <t>1765-01-28</t>
  </si>
  <si>
    <t>Luna den 28 fanuany</t>
  </si>
  <si>
    <t>NL-HaNA_3820_0110-page-218-col-1-tr-0-line-9</t>
  </si>
  <si>
    <t>Veneris den 25 January</t>
  </si>
  <si>
    <t>Martis den 29 January</t>
  </si>
  <si>
    <t>1791-09-21</t>
  </si>
  <si>
    <t>Mercuri den 21 September</t>
  </si>
  <si>
    <t>NL-HaNA_3855_0095-page-189-col-0-tr-2-line-0</t>
  </si>
  <si>
    <t>Martis den 20 September</t>
  </si>
  <si>
    <t>Jovis den 22 September</t>
  </si>
  <si>
    <t>1716-05-17</t>
  </si>
  <si>
    <t>NL-HaNA_3771_0232-page-463-col-1-tr-1-line-0</t>
  </si>
  <si>
    <t>Sabbath den 16, Mey</t>
  </si>
  <si>
    <t>Lane den 18, Mey</t>
  </si>
  <si>
    <t>1770-07-30</t>
  </si>
  <si>
    <t>Dominica den 29 July</t>
  </si>
  <si>
    <t>NL-HaNA_3825_0374-page-746-col-0-tr-2-line-0</t>
  </si>
  <si>
    <t>Veneris den 27 July</t>
  </si>
  <si>
    <t>Martis den 3t July</t>
  </si>
  <si>
    <t>1774-08-06</t>
  </si>
  <si>
    <t>Veneris den 5 Aucifty</t>
  </si>
  <si>
    <t>1756-11-27</t>
  </si>
  <si>
    <t>NL-HaNA_3811_0409-page-816-col-0-tr-0-line-32</t>
  </si>
  <si>
    <t>Lane den:29 November</t>
  </si>
  <si>
    <t>1718-08-08</t>
  </si>
  <si>
    <t>NL-HaNA_3773_0380-page-758-col-0-tr-1-line-0</t>
  </si>
  <si>
    <t>Martis den 9. August</t>
  </si>
  <si>
    <t>1774-10-16</t>
  </si>
  <si>
    <t>NL-HaNA_3829_0401-page-801-col-1-tr-4-line-0</t>
  </si>
  <si>
    <t>Veneris den 14 Oftober</t>
  </si>
  <si>
    <t>Lane den 17 Oftober</t>
  </si>
  <si>
    <t>1752-08-28</t>
  </si>
  <si>
    <t>Lune den 28 Augufty</t>
  </si>
  <si>
    <t>NL-HaNA_3807_0374-page-747-col-1-tr-0-line-7</t>
  </si>
  <si>
    <t>Sabatthi. den 16 Auguft</t>
  </si>
  <si>
    <t>Martis den 29 Augufty</t>
  </si>
  <si>
    <t>1745-06-18</t>
  </si>
  <si>
    <t>Veneris den 18 Juny</t>
  </si>
  <si>
    <t>NL-HaNA_3800_0283-page-564-col-0-tr-1-line-0</t>
  </si>
  <si>
    <t>Jovis den 17 Juny</t>
  </si>
  <si>
    <t>Sabbathi den 19 Juny</t>
  </si>
  <si>
    <t>1767-05-03</t>
  </si>
  <si>
    <t>NL-HaNA_3822_0211-page-421-col-1-tr-3-line-0</t>
  </si>
  <si>
    <t>Lune den 4 Mey</t>
  </si>
  <si>
    <t>1768-02-29</t>
  </si>
  <si>
    <t>Lune den 29 February</t>
  </si>
  <si>
    <t>NL-HaNA_3823_0135-page-268-col-0-tr-1-line-0</t>
  </si>
  <si>
    <t>1744-01-17</t>
  </si>
  <si>
    <t>Veneris den 1 January</t>
  </si>
  <si>
    <t>NL-HaNA_3799_0070-page-139-col-0-tr-0-line-0</t>
  </si>
  <si>
    <t>Jovis den 16 January</t>
  </si>
  <si>
    <t>1713-10-24</t>
  </si>
  <si>
    <t>Martis den 24. Octobe</t>
  </si>
  <si>
    <t>NL-HaNA_3768_0696-page-1390-col-2-tr-1-line-0</t>
  </si>
  <si>
    <t>Luna den 23. October</t>
  </si>
  <si>
    <t>Morgurii den 25. Octobe</t>
  </si>
  <si>
    <t>1782-08-01</t>
  </si>
  <si>
    <t>Jovis den 1 Augusty</t>
  </si>
  <si>
    <t>NL-HaNA_3839_0054-page-107-col-1-tr-2-line-0</t>
  </si>
  <si>
    <t>Mercuri den 31 July</t>
  </si>
  <si>
    <t>Veneris den 2 Augufty</t>
  </si>
  <si>
    <t>1742-02-24</t>
  </si>
  <si>
    <t>Sabbathi den 24 February</t>
  </si>
  <si>
    <t>NL-HaNA_3797_0103-page-205-col-1-tr-1-line-0</t>
  </si>
  <si>
    <t>1741-12-29</t>
  </si>
  <si>
    <t>Lune den 25 December</t>
  </si>
  <si>
    <t>NL-HaNA_3796_0486-page-971-col-0-tr-3-line-0</t>
  </si>
  <si>
    <t>Sabbathi den 30 December</t>
  </si>
  <si>
    <t>1764-01-25</t>
  </si>
  <si>
    <t>Mercurii den 25 January</t>
  </si>
  <si>
    <t>NL-HaNA_3819_0107-page-212-col-0-tr-1-line-0</t>
  </si>
  <si>
    <t>Martis den 24 January</t>
  </si>
  <si>
    <t>Jovis den 26 January</t>
  </si>
  <si>
    <t>1729-01-02</t>
  </si>
  <si>
    <t>NL-HaNA_3784_0045-page-89-col-0-tr-0-line-0</t>
  </si>
  <si>
    <t>Lune den 3. fanuarii</t>
  </si>
  <si>
    <t>1708-08-06</t>
  </si>
  <si>
    <t>Luna den 6. Angnfli</t>
  </si>
  <si>
    <t>NL-HaNA_3763_0385-page-769-col-0-tr-1-line-0</t>
  </si>
  <si>
    <t>Sabbathi den 4. August</t>
  </si>
  <si>
    <t>Martis den 7. August</t>
  </si>
  <si>
    <t>1739-04-11</t>
  </si>
  <si>
    <t>Sabbathiì den u April</t>
  </si>
  <si>
    <t>NL-HaNA_3794_0144-page-287-col-0-tr-1-line-0</t>
  </si>
  <si>
    <t>Veneris den 10 Aprit</t>
  </si>
  <si>
    <t>Lune den 13 april</t>
  </si>
  <si>
    <t>1774-10-17</t>
  </si>
  <si>
    <t>Martis den 18 Oflober</t>
  </si>
  <si>
    <t>1759-03-23</t>
  </si>
  <si>
    <t>NL-HaNA_3814_0193-page-384-col-0-tr-0-line-0</t>
  </si>
  <si>
    <t>Jovis den 22 Maart</t>
  </si>
  <si>
    <t>1741-05-26</t>
  </si>
  <si>
    <t>Veneris den 26 Mey</t>
  </si>
  <si>
    <t>NL-HaNA_3796_0232-page-463-col-0-tr-1-line-0</t>
  </si>
  <si>
    <t>Jovis den 25 Mey</t>
  </si>
  <si>
    <t>Sabbathi den 27 Mey</t>
  </si>
  <si>
    <t>1777-10-28</t>
  </si>
  <si>
    <t>Martis den 29 DR ober</t>
  </si>
  <si>
    <t>NL-HaNA_3832_0462-page-923-col-0-tr-2-line-0</t>
  </si>
  <si>
    <t>Lune den 27 Oftoter</t>
  </si>
  <si>
    <t>Mevreurii den 29 Oftobe</t>
  </si>
  <si>
    <t>1796-02-23</t>
  </si>
  <si>
    <t>Mortis den 23 February</t>
  </si>
  <si>
    <t>NL-HaNA_3864_0318-page-634-col-1-tr-2-line-3</t>
  </si>
  <si>
    <t>Lune den 292 February</t>
  </si>
  <si>
    <t>Mercurii den 24 February</t>
  </si>
  <si>
    <t>1774-08-31</t>
  </si>
  <si>
    <t>Mercurii den 31 Auznfiy</t>
  </si>
  <si>
    <t>NL-HaNA_3829_0352-page-703-col-1-tr-2-line-0</t>
  </si>
  <si>
    <t>Martis den 30 Angufly</t>
  </si>
  <si>
    <t>1755-11-01</t>
  </si>
  <si>
    <t>NL-HaNA_3810_0375-page-749-col-0-tr-2-line-0</t>
  </si>
  <si>
    <t>Veneris den 31 Odtober</t>
  </si>
  <si>
    <t>Lanz den 3 November</t>
  </si>
  <si>
    <t>1731-02-11</t>
  </si>
  <si>
    <t>NL-HaNA_3786_0082-page-162-col-1-tr-2-line-0</t>
  </si>
  <si>
    <t>Sabbathi den 10. Februari</t>
  </si>
  <si>
    <t>Lune den 12, Februarii</t>
  </si>
  <si>
    <t>1766-09-06</t>
  </si>
  <si>
    <t>NL-HaNA_3821_0336-page-670-col-1-tr-2-line-0</t>
  </si>
  <si>
    <t>Veneris den September</t>
  </si>
  <si>
    <t>Luns den 8 September</t>
  </si>
  <si>
    <t>1739-04-02</t>
  </si>
  <si>
    <t>Fovis den 2 April</t>
  </si>
  <si>
    <t>NL-HaNA_3794_0135-page-269-col-1-tr-3-line-0</t>
  </si>
  <si>
    <t>Veneris den 3 April</t>
  </si>
  <si>
    <t>1720-01-26</t>
  </si>
  <si>
    <t>Peneris den 26. Januari</t>
  </si>
  <si>
    <t>NL-HaNA_3775_0075-page-149-col-1-tr-0-line-0</t>
  </si>
  <si>
    <t>Jovis den 25. Januari</t>
  </si>
  <si>
    <t>Sabbathi den 27. Januari</t>
  </si>
  <si>
    <t>1739-05-13</t>
  </si>
  <si>
    <t>Mercurii den 13 Mey</t>
  </si>
  <si>
    <t>NL-HaNA_3794_0173-page-344-col-0-tr-1-line-0</t>
  </si>
  <si>
    <t>Martis den 12 Mey</t>
  </si>
  <si>
    <t>1757-05-02</t>
  </si>
  <si>
    <t>Lune den i Mey</t>
  </si>
  <si>
    <t>NL-HaNA_3812_0234-page-467-col-2-tr-1-line-0</t>
  </si>
  <si>
    <t>Veneris den 29 April</t>
  </si>
  <si>
    <t>Martis den 3 Mey</t>
  </si>
  <si>
    <t>1743-11-10</t>
  </si>
  <si>
    <t>NL-HaNA_3798_0335-page-668-col-0-tr-3-line-0</t>
  </si>
  <si>
    <t>Sabbáthi den 9 November</t>
  </si>
  <si>
    <t>Lane den 11 November</t>
  </si>
  <si>
    <t>1770-02-27</t>
  </si>
  <si>
    <t>NL-HaNA_3825_0150-page-299-col-0-tr-0-line-26</t>
  </si>
  <si>
    <t>Lun den 26 February</t>
  </si>
  <si>
    <t>1749-08-23</t>
  </si>
  <si>
    <t>Sabbatthi den 23 August</t>
  </si>
  <si>
    <t>NL-HaNA_3804_0336-page-671-col-0-tr-1-line-0</t>
  </si>
  <si>
    <t>Veneris den 22 Augufty</t>
  </si>
  <si>
    <t>Lune den 25 Augusty</t>
  </si>
  <si>
    <t>1786-11-19</t>
  </si>
  <si>
    <t>NL-HaNA_3847_0246-page-490-col-0-tr-1-line-0</t>
  </si>
  <si>
    <t>Veneris den 17 November</t>
  </si>
  <si>
    <t>1786-12-25</t>
  </si>
  <si>
    <t>NL-HaNA_3847_0333-page-665-col-0-tr-1-line-0</t>
  </si>
  <si>
    <t>Mercuri den 27 December</t>
  </si>
  <si>
    <t>1775-06-19</t>
  </si>
  <si>
    <t>Veneris den 16 Jay</t>
  </si>
  <si>
    <t>Martis den. 20 Tun</t>
  </si>
  <si>
    <t>1762-12-19</t>
  </si>
  <si>
    <t>NL-HaNA_3817_0513-page-1025-col-0-tr-0-line-24</t>
  </si>
  <si>
    <t>Veneris den 17 December</t>
  </si>
  <si>
    <t>Lune den 20 December.</t>
  </si>
  <si>
    <t>1752-08-11</t>
  </si>
  <si>
    <t>Veneris den 11 Anenfty</t>
  </si>
  <si>
    <t>NL-HaNA_3807_0355-page-708-col-1-tr-0-line-37</t>
  </si>
  <si>
    <t>$ovis den 10 Augufty</t>
  </si>
  <si>
    <t>Sabatthi den 12 Augusty</t>
  </si>
  <si>
    <t>1718-11-16</t>
  </si>
  <si>
    <t>Mercuri den 16. November</t>
  </si>
  <si>
    <t>NL-HaNA_3773_0531-page-1060-col-0-tr-4-line-0</t>
  </si>
  <si>
    <t>1792-08-06</t>
  </si>
  <si>
    <t>Lune den 6 Anguiy</t>
  </si>
  <si>
    <t>NL-HaNA_3857_0053-page-105-col-0-tr-1-line-0</t>
  </si>
  <si>
    <t>Veneris den 3 dAuguft</t>
  </si>
  <si>
    <t>Martis den 7 Augu[ty</t>
  </si>
  <si>
    <t>1706-03-11</t>
  </si>
  <si>
    <t>Jovis den 11. Maer</t>
  </si>
  <si>
    <t>NL-HaNA_3761_0141-page-281-col-1-tr-1-line-1</t>
  </si>
  <si>
    <t>Keneris den 2. Maert</t>
  </si>
  <si>
    <t>1753-05-15</t>
  </si>
  <si>
    <t>Martis den 15 Mey</t>
  </si>
  <si>
    <t>NL-HaNA_3808_0211-page-420-col-1-tr-2-line-1</t>
  </si>
  <si>
    <t>Lune den 14 Mey</t>
  </si>
  <si>
    <t>Mercurii den 16 Mey</t>
  </si>
  <si>
    <t>1720-11-13</t>
  </si>
  <si>
    <t>Martis den 12. Nousmbe</t>
  </si>
  <si>
    <t>Jovis den 14. Novembe</t>
  </si>
  <si>
    <t>1720-02-26</t>
  </si>
  <si>
    <t>Lune den 26, Febuarii</t>
  </si>
  <si>
    <t>NL-HaNA_3775_0114-page-226-col-1-tr-1-line-0</t>
  </si>
  <si>
    <t>Sabbat hi den 24. Februar</t>
  </si>
  <si>
    <t>Martis den 27. Februayi</t>
  </si>
  <si>
    <t>1780-07-16</t>
  </si>
  <si>
    <t>NL-HaNA_3835_0404-page-806-col-1-tr-1-line-0</t>
  </si>
  <si>
    <t>Veneris den 14 July</t>
  </si>
  <si>
    <t>Lane den 17 Jaly</t>
  </si>
  <si>
    <t>1788-06-28</t>
  </si>
  <si>
    <t>NL-HaNA_3850_0315-page-628-col-1-tr-1-line-0</t>
  </si>
  <si>
    <t>Veneris den 27 Juny</t>
  </si>
  <si>
    <t>Lune den 30 Jany</t>
  </si>
  <si>
    <t>1764-07-13</t>
  </si>
  <si>
    <t>Veneris den 13 July</t>
  </si>
  <si>
    <t>NL-HaNA_3819_0311-page-620-col-0-tr-2-line-0</t>
  </si>
  <si>
    <t>Jovis den 12 July</t>
  </si>
  <si>
    <t>1760-08-25</t>
  </si>
  <si>
    <t>Luna den 25 Augusty</t>
  </si>
  <si>
    <t>NL-HaNA_3815_0384-page-767-col-0-tr-1-line-0</t>
  </si>
  <si>
    <t>Veneris den 22 Angully</t>
  </si>
  <si>
    <t>Martis den 26 Augusly</t>
  </si>
  <si>
    <t>1767-05-13</t>
  </si>
  <si>
    <t>Mercuri den 13 Mey:</t>
  </si>
  <si>
    <t>NL-HaNA_3822_0228-page-454-col-0-tr-0-line-13</t>
  </si>
  <si>
    <t>Jovis den 14 Mej</t>
  </si>
  <si>
    <t>1717-11-18</t>
  </si>
  <si>
    <t>Zovis den 18. Novembe</t>
  </si>
  <si>
    <t>NL-HaNA_3772_0530-page-1058-col-0-tr-1-line-0</t>
  </si>
  <si>
    <t>Mercurii den 17. Novembe</t>
  </si>
  <si>
    <t>Veneris den 19. Novembe</t>
  </si>
  <si>
    <t>1750-07-08</t>
  </si>
  <si>
    <t>Mercurii den 3 July</t>
  </si>
  <si>
    <t>NL-HaNA_3805_0281-page-560-col-1-tr-1-line-0</t>
  </si>
  <si>
    <t>Martis den 7 July</t>
  </si>
  <si>
    <t>Jovis den 9 July</t>
  </si>
  <si>
    <t>1757-03-06</t>
  </si>
  <si>
    <t>NL-HaNA_3812_0162-page-322-col-1-tr-0-line-7</t>
  </si>
  <si>
    <t>Veneris den 4 Maart</t>
  </si>
  <si>
    <t>Lune den 7 Maart</t>
  </si>
  <si>
    <t>1747-03-02</t>
  </si>
  <si>
    <t>Jovis den 2 Maart</t>
  </si>
  <si>
    <t>NL-HaNA_3802_0132-page-262-col-0-tr-3-line-0</t>
  </si>
  <si>
    <t>Mercurii den 1 Maart</t>
  </si>
  <si>
    <t>Veneris den 3 Maart</t>
  </si>
  <si>
    <t>1712-03-31</t>
  </si>
  <si>
    <t>Jovis den 31. Maer</t>
  </si>
  <si>
    <t>NL-HaNA_3767_0184-page-367-col-0-tr-4-line-0</t>
  </si>
  <si>
    <t>Veneris den 1. Apri</t>
  </si>
  <si>
    <t>1746-11-23</t>
  </si>
  <si>
    <t>NL-HaNA_3801_0467-page-932-col-1-tr-0-line-0</t>
  </si>
  <si>
    <t>1710-10-03</t>
  </si>
  <si>
    <t>Veneris den 3. Octobe</t>
  </si>
  <si>
    <t>NL-HaNA_3765_0559-page-1117-col-0-tr-1-line-0</t>
  </si>
  <si>
    <t>Jovis den 2. Octobe</t>
  </si>
  <si>
    <t>1776-09-03</t>
  </si>
  <si>
    <t>Martis den 3 September</t>
  </si>
  <si>
    <t>NL-HaNA_3831_0364-page-727-col-0-tr-2-line-0</t>
  </si>
  <si>
    <t>Luna den 2 September</t>
  </si>
  <si>
    <t>Mereurii den 2 September</t>
  </si>
  <si>
    <t>1706-02-05</t>
  </si>
  <si>
    <t>Veneris den z. Februari</t>
  </si>
  <si>
    <t>NL-HaNA_3761_0071-page-140-col-0-tr-1-line-0</t>
  </si>
  <si>
    <t>Jovis den 4. Februari</t>
  </si>
  <si>
    <t>Sabbathi den 6. Februari</t>
  </si>
  <si>
    <t>1738-10-13</t>
  </si>
  <si>
    <t>Lune den 13. Oftober</t>
  </si>
  <si>
    <t>NL-HaNA_3793_0327-page-653-col-1-tr-1-line-0</t>
  </si>
  <si>
    <t>Martis den 14. Octobe</t>
  </si>
  <si>
    <t>1710-02-18</t>
  </si>
  <si>
    <t xml:space="preserve">Martis dn 18. Februari </t>
  </si>
  <si>
    <t>NL-HaNA_3765_0109-page-216-col-0-tr-0-line-0</t>
  </si>
  <si>
    <t xml:space="preserve">Luna den 17. Februari </t>
  </si>
  <si>
    <t>Mercuri den 19. Februarii</t>
  </si>
  <si>
    <t>1792-08-11</t>
  </si>
  <si>
    <t>NL-HaNA_3857_0059-page-116-col-0-tr-1-line-0</t>
  </si>
  <si>
    <t>Veneris den 10 Augifty</t>
  </si>
  <si>
    <t>Lune den 13 Augufiy</t>
  </si>
  <si>
    <t>1776-06-20</t>
  </si>
  <si>
    <t>Jovis den 20 Juny</t>
  </si>
  <si>
    <t>NL-HaNA_3831_0284-page-567-col-1-tr-1-line-8</t>
  </si>
  <si>
    <t>Mercuri den 19 Jun</t>
  </si>
  <si>
    <t>Veneris den 21 Jany</t>
  </si>
  <si>
    <t>1784-01-02</t>
  </si>
  <si>
    <t>NL-HaNA_3842_0125-page-249-col-0-tr-0-line-0</t>
  </si>
  <si>
    <t>Lune den 4 January</t>
  </si>
  <si>
    <t>1791-12-14</t>
  </si>
  <si>
    <t>Mercuri den 14 December</t>
  </si>
  <si>
    <t>NL-HaNA_3855_0239-page-476-col-0-tr-1-line-0</t>
  </si>
  <si>
    <t>Martis den 13 December</t>
  </si>
  <si>
    <t>Jovis den 15 December</t>
  </si>
  <si>
    <t>1789-08-14</t>
  </si>
  <si>
    <t>Veneris den 14 Angifiy</t>
  </si>
  <si>
    <t>NL-HaNA_3852_0374-page-747-col-0-tr-0-line-0</t>
  </si>
  <si>
    <t>Jovis den 13 Augufiy</t>
  </si>
  <si>
    <t>Lane den 17 Augufty</t>
  </si>
  <si>
    <t>1718-01-15</t>
  </si>
  <si>
    <t>Súbbathi den 15. Januari</t>
  </si>
  <si>
    <t>NL-HaNA_3773_0060-page-118-col-0-tr-2-line-0</t>
  </si>
  <si>
    <t>Veneris den 14. Fanuari</t>
  </si>
  <si>
    <t>Lune den 17. Januaril</t>
  </si>
  <si>
    <t>1729-08-09</t>
  </si>
  <si>
    <t>Martis den 9, Auguft</t>
  </si>
  <si>
    <t>NL-HaNA_3784_0298-page-595-col-1-tr-1-line-0</t>
  </si>
  <si>
    <t>Lane den 3. Ausufti</t>
  </si>
  <si>
    <t>Mercurii den 10, Auguft</t>
  </si>
  <si>
    <t>1722-08-08</t>
  </si>
  <si>
    <t>Sabbathi den. 8. Augus</t>
  </si>
  <si>
    <t>NL-HaNA_3777_0319-page-636-col-0-tr-1-line-0</t>
  </si>
  <si>
    <t>Veneris den 7. August</t>
  </si>
  <si>
    <t>Dominica den 9. August</t>
  </si>
  <si>
    <t>1746-03-28</t>
  </si>
  <si>
    <t>Luna den 28 Maart</t>
  </si>
  <si>
    <t>NL-HaNA_3801_0160-page-319-col-0-tr-0-line-34</t>
  </si>
  <si>
    <t>Martis den 29 Maart</t>
  </si>
  <si>
    <t>1789-05-29</t>
  </si>
  <si>
    <t>Veneris den 29 Mey</t>
  </si>
  <si>
    <t>NL-HaNA_3852_0290-page-578-col-0-tr-2-line-0</t>
  </si>
  <si>
    <t>Jovis den 28 Mey</t>
  </si>
  <si>
    <t>Martis den 2 Jany</t>
  </si>
  <si>
    <t>1738-12-10</t>
  </si>
  <si>
    <t>Mercurii den 15 December</t>
  </si>
  <si>
    <t>NL-HaNA_3793_0395-page-788-col-0-tr-1-line-0</t>
  </si>
  <si>
    <t>Martis den 9. Decembe</t>
  </si>
  <si>
    <t>Jovis den 11. Decembe</t>
  </si>
  <si>
    <t>1782-05-25</t>
  </si>
  <si>
    <t>NL-HaNA_3838_0252-page-503-col-0-tr-1-line-0</t>
  </si>
  <si>
    <t>Lane den 27 Mey</t>
  </si>
  <si>
    <t>1796-02-18</t>
  </si>
  <si>
    <t>Jovis den 18 February</t>
  </si>
  <si>
    <t>NL-HaNA_3864_0300-page-599-col-1-tr-1-line-0</t>
  </si>
  <si>
    <t>Mercurii den 17 Rbruary</t>
  </si>
  <si>
    <t>Peneris den \9 February</t>
  </si>
  <si>
    <t>1785-06-01</t>
  </si>
  <si>
    <t>Mercuvii den 1 Juuy</t>
  </si>
  <si>
    <t>NL-HaNA_3844_0387-page-772-col-1-tr-2-line-0</t>
  </si>
  <si>
    <t>Martis den 31 Mey</t>
  </si>
  <si>
    <t>Jovis den 2 Júny</t>
  </si>
  <si>
    <t>1751-04-26</t>
  </si>
  <si>
    <t>NL-HaNA_3806_0177-page-352-col-1-tr-2-line-0</t>
  </si>
  <si>
    <t>Martis den 27 April</t>
  </si>
  <si>
    <t>1737-09-02</t>
  </si>
  <si>
    <t>Luna den 2. September</t>
  </si>
  <si>
    <t>NL-HaNA_3792_0246-page-490-col-0-tr-1-line-0</t>
  </si>
  <si>
    <t>Martis den 3, Septembe</t>
  </si>
  <si>
    <t>1749-06-15</t>
  </si>
  <si>
    <t>NL-HaNA_3804_0253-page-505-col-0-tr-3-line-0</t>
  </si>
  <si>
    <t>Lune den t6 Juny</t>
  </si>
  <si>
    <t>1759-03-01</t>
  </si>
  <si>
    <t>Jovis den t Maart</t>
  </si>
  <si>
    <t>NL-HaNA_3814_0158-page-315-col-1-tr-3-line-0</t>
  </si>
  <si>
    <t>Mercuri den 28 February</t>
  </si>
  <si>
    <t>Veneris den 2 Maart</t>
  </si>
  <si>
    <t>1764-12-23</t>
  </si>
  <si>
    <t>NL-HaNA_3819_0504-page-1006-col-0-tr-1-line-0</t>
  </si>
  <si>
    <t>Veneris den 21 December</t>
  </si>
  <si>
    <t>Luna den 24 December</t>
  </si>
  <si>
    <t>1766-11-23</t>
  </si>
  <si>
    <t>NL-HaNA_3821_0404-page-806-col-0-tr-1-line-0</t>
  </si>
  <si>
    <t>Veneris den 21 November</t>
  </si>
  <si>
    <t>Lune den 24 November</t>
  </si>
  <si>
    <t>1732-02-21</t>
  </si>
  <si>
    <t>NL-HaNA_3787_0097-page-193-col-0-tr-0-line-0</t>
  </si>
  <si>
    <t>Mercuri den 20, Februarii</t>
  </si>
  <si>
    <t>Veneris den 22. Februari</t>
  </si>
  <si>
    <t>1766-01-04</t>
  </si>
  <si>
    <t>NL-HaNA_3821_0089-page-176-col-1-tr-0-line-0</t>
  </si>
  <si>
    <t>Veneris den 3 January</t>
  </si>
  <si>
    <t>1770-10-04</t>
  </si>
  <si>
    <t>Jovis den 4 October</t>
  </si>
  <si>
    <t>NL-HaNA_3825_0439-page-877-col-2-tr-1-line-2</t>
  </si>
  <si>
    <t>Meoreurii den 3 Octobe</t>
  </si>
  <si>
    <t>Veneris den 5 October</t>
  </si>
  <si>
    <t>1738-12-04</t>
  </si>
  <si>
    <t>Jovis den 4. Decembe</t>
  </si>
  <si>
    <t>NL-HaNA_3793_0389-page-777-col-0-tr-2-line-0</t>
  </si>
  <si>
    <t>Mercurii den 3 December</t>
  </si>
  <si>
    <t>Veneris den 5. Decembe</t>
  </si>
  <si>
    <t>1772-11-29</t>
  </si>
  <si>
    <t>NL-HaNA_3827_0466-page-931-col-0-tr-0-line-0</t>
  </si>
  <si>
    <t>Veneris den 27 November</t>
  </si>
  <si>
    <t>1762-10-20</t>
  </si>
  <si>
    <t>1770-10-03</t>
  </si>
  <si>
    <t>NL-HaNA_3825_0438-page-875-col-0-tr-0-line-49</t>
  </si>
  <si>
    <t>Maurtis den 2 Offobe</t>
  </si>
  <si>
    <t>1787-09-03</t>
  </si>
  <si>
    <t>NL-HaNA_3849_0153-page-305-col-1-tr-1-line-1</t>
  </si>
  <si>
    <t>Veneris den 31 Augufiy</t>
  </si>
  <si>
    <t>1766-01-13</t>
  </si>
  <si>
    <t>Dominica den 11 January</t>
  </si>
  <si>
    <t>NL-HaNA_3821_0098-page-195-col-0-tr-1-line-0</t>
  </si>
  <si>
    <t>Veneris den 10 January</t>
  </si>
  <si>
    <t>Martis den t4 Jatuarg</t>
  </si>
  <si>
    <t>1779-09-30</t>
  </si>
  <si>
    <t>Jovis den 30 September</t>
  </si>
  <si>
    <t>NL-HaNA_3834_0490-page-979-col-0-tr-1-line-0</t>
  </si>
  <si>
    <t>Veneris den A Oftober</t>
  </si>
  <si>
    <t>1762-04-28</t>
  </si>
  <si>
    <t>Mercurii den 28 April</t>
  </si>
  <si>
    <t>NL-HaNA_3817_0240-page-478-col-0-tr-0-line-43</t>
  </si>
  <si>
    <t>Martis den 27. Apri</t>
  </si>
  <si>
    <t>1781-07-16</t>
  </si>
  <si>
    <t>Lana den 16 July</t>
  </si>
  <si>
    <t>NL-HaNA_3837_0033-page-64-col-0-tr-1-line-0</t>
  </si>
  <si>
    <t>Martis den 17 Zaly</t>
  </si>
  <si>
    <t>1792-02-21</t>
  </si>
  <si>
    <t>NL-HaNA_3856_0169-page-337-col-0-tr-3-line-0</t>
  </si>
  <si>
    <t>Mercurii den 22 February</t>
  </si>
  <si>
    <t>1737-10-10</t>
  </si>
  <si>
    <t>Jovis den ro. Octobe</t>
  </si>
  <si>
    <t>NL-HaNA_3792_0282-page-563-col-1-tr-1-line-0</t>
  </si>
  <si>
    <t>Mercurii den 9. Octobe</t>
  </si>
  <si>
    <t>Peneris den 11, Oftobe</t>
  </si>
  <si>
    <t>1751-02-24</t>
  </si>
  <si>
    <t>NL-HaNA_3806_0106-page-211-col-1-tr-2-line-0</t>
  </si>
  <si>
    <t>Martis den 23 February</t>
  </si>
  <si>
    <t>Jovis den 25 February</t>
  </si>
  <si>
    <t>1783-12-19</t>
  </si>
  <si>
    <t>Veneris den 19 December</t>
  </si>
  <si>
    <t>NL-HaNA_3841_0254-page-507-col-0-tr-0-line-0</t>
  </si>
  <si>
    <t>Jovis den vR Detember</t>
  </si>
  <si>
    <t>1728-10-03</t>
  </si>
  <si>
    <t>NL-HaNA_3783_0433-page-864-col-0-tr-4-line-0</t>
  </si>
  <si>
    <t>Sabbatbi den 2. Ofober</t>
  </si>
  <si>
    <t>Lune den 4. OSober</t>
  </si>
  <si>
    <t>1730-11-25</t>
  </si>
  <si>
    <t>NL-HaNA_3785_0408-page-815-col-0-tr-2-line-0</t>
  </si>
  <si>
    <t>Lune den 27. November</t>
  </si>
  <si>
    <t>1731-04-17</t>
  </si>
  <si>
    <t>Martis den 17. Apri</t>
  </si>
  <si>
    <t>NL-HaNA_3786_0139-page-276-col-0-tr-2-line-0</t>
  </si>
  <si>
    <t>Lune den 16. April</t>
  </si>
  <si>
    <t>Mereurii den 18. Apri</t>
  </si>
  <si>
    <t>1718-06-05</t>
  </si>
  <si>
    <t>Sabbathi den 4. Juni</t>
  </si>
  <si>
    <t>1779-12-07</t>
  </si>
  <si>
    <t>Martis den 7 December</t>
  </si>
  <si>
    <t>NL-HaNA_3834_0572-page-1143-col-0-tr-1-line-0</t>
  </si>
  <si>
    <t>Mercurii den 8 December</t>
  </si>
  <si>
    <t>1789-11-07</t>
  </si>
  <si>
    <t>Veneris den 6 November</t>
  </si>
  <si>
    <t>1742-11-07</t>
  </si>
  <si>
    <t>Mercurii den 7 November</t>
  </si>
  <si>
    <t>NL-HaNA_3797_0431-page-861-col-1-tr-2-line-0</t>
  </si>
  <si>
    <t>Martis den 6 November</t>
  </si>
  <si>
    <t>1706-02-12</t>
  </si>
  <si>
    <t xml:space="preserve">Venerisden 12. Februari </t>
  </si>
  <si>
    <t>NL-HaNA_3761_0082-page-163-col-0-tr-1-line-0</t>
  </si>
  <si>
    <t xml:space="preserve">gfbatbi den 1. Ecbruarii </t>
  </si>
  <si>
    <t>1715-02-21</t>
  </si>
  <si>
    <t>Jovis den 21. Februari</t>
  </si>
  <si>
    <t>NL-HaNA_3770_0103-page-205-col-0-tr-1-line-0</t>
  </si>
  <si>
    <t>Mercuri den 20. Februari</t>
  </si>
  <si>
    <t>Veneris den 22. Februart</t>
  </si>
  <si>
    <t>1739-08-29</t>
  </si>
  <si>
    <t>Sabbatbi den 29 Ancufty</t>
  </si>
  <si>
    <t>NL-HaNA_3794_0276-page-550-col-1-tr-1-line-0</t>
  </si>
  <si>
    <t>Veneris den 28 Angusty</t>
  </si>
  <si>
    <t>Lune den 31 Angafiy</t>
  </si>
  <si>
    <t>1741-10-10</t>
  </si>
  <si>
    <t>Martis den 10 Oftober</t>
  </si>
  <si>
    <t>NL-HaNA_3796_0388-page-775-col-1-tr-2-line-0</t>
  </si>
  <si>
    <t>Lune den 9 Oftober</t>
  </si>
  <si>
    <t>Mercuri den ut October</t>
  </si>
  <si>
    <t>1709-01-10</t>
  </si>
  <si>
    <t>Jovis den 10. Januari</t>
  </si>
  <si>
    <t>NL-HaNA_3764_0036-page-70-col-1-tr-1-line-0</t>
  </si>
  <si>
    <t>Mercurii den 9. Januari</t>
  </si>
  <si>
    <t>Veneris den 11. Januari</t>
  </si>
  <si>
    <t>1758-08-11</t>
  </si>
  <si>
    <t>NL-HaNA_3813_0356-page-710-col-1-tr-1-line-16</t>
  </si>
  <si>
    <t>Jovis den 10 Augufty</t>
  </si>
  <si>
    <t>1727-12-05</t>
  </si>
  <si>
    <t>NL-HaNA_3782_0482-page-962-col-0-tr-1-line-0</t>
  </si>
  <si>
    <t>Sabbathì den 6. Decembe</t>
  </si>
  <si>
    <t>1713-01-22</t>
  </si>
  <si>
    <t>NL-HaNA_3768_0073-page-144-col-1-tr-1-line-0</t>
  </si>
  <si>
    <t>Sabbathi den 21. Fanuari</t>
  </si>
  <si>
    <t>Lune den 23. Januartë</t>
  </si>
  <si>
    <t>1787-07-24</t>
  </si>
  <si>
    <t>Martis den 24 July</t>
  </si>
  <si>
    <t>NL-HaNA_3849_0058-page-115-col-0-tr-1-line-19</t>
  </si>
  <si>
    <t>Lune den 23 July</t>
  </si>
  <si>
    <t>1784-10-06</t>
  </si>
  <si>
    <t>Mercuri den 6 Oftobef</t>
  </si>
  <si>
    <t>NL-HaNA_3843_0156-page-311-col-0-tr-1-line-30</t>
  </si>
  <si>
    <t>Martis den 5 Oftober</t>
  </si>
  <si>
    <t>Jovis den 7 Oftober</t>
  </si>
  <si>
    <t>1714-05-28</t>
  </si>
  <si>
    <t>Luna den 28. Mey</t>
  </si>
  <si>
    <t>NL-HaNA_3769_0308-page-614-col-0-tr-1-line-0</t>
  </si>
  <si>
    <t>Sabbathi den 26. Me</t>
  </si>
  <si>
    <t>Martis den 19. Me</t>
  </si>
  <si>
    <t>1729-09-19</t>
  </si>
  <si>
    <t>Lune den 19. September</t>
  </si>
  <si>
    <t>NL-HaNA_3784_0339-page-677-col-0-tr-3-line-0</t>
  </si>
  <si>
    <t>Sabbathi den 17. Septembe</t>
  </si>
  <si>
    <t>Martis den 20, Septembe</t>
  </si>
  <si>
    <t>1764-08-28</t>
  </si>
  <si>
    <t>Martis den 28 Augusty</t>
  </si>
  <si>
    <t>NL-HaNA_3819_0362-page-722-col-0-tr-1-line-0</t>
  </si>
  <si>
    <t>Luna den 27 Angusty</t>
  </si>
  <si>
    <t>Mercurii den 29 Augnfty</t>
  </si>
  <si>
    <t>1742-10-10</t>
  </si>
  <si>
    <t>Mercuri deh 10 October</t>
  </si>
  <si>
    <t>NL-HaNA_3797_0407-page-813-col-1-tr-2-line-0</t>
  </si>
  <si>
    <t>Martis den 9 Oftober</t>
  </si>
  <si>
    <t>Jovis den 11 October</t>
  </si>
  <si>
    <t>1754-02-19</t>
  </si>
  <si>
    <t>NL-HaNA_3809_0112-page-223-col-0-tr-0-line-0</t>
  </si>
  <si>
    <t>Lune den 18 February</t>
  </si>
  <si>
    <t>Mercurii den 20 February</t>
  </si>
  <si>
    <t>1712-09-16</t>
  </si>
  <si>
    <t>Veneris den 16. Septembe</t>
  </si>
  <si>
    <t>NL-HaNA_3767_0536-page-1070-col-0-tr-3-line-0</t>
  </si>
  <si>
    <t>Zovis den 15. Septembe</t>
  </si>
  <si>
    <t>1719-05-13</t>
  </si>
  <si>
    <t>Sabbathi den 13. Me</t>
  </si>
  <si>
    <t>NL-HaNA_3774_0237-page-472-col-1-tr-3-line-0</t>
  </si>
  <si>
    <t>Veneris den 12. Me</t>
  </si>
  <si>
    <t>Lune den 15. Mey</t>
  </si>
  <si>
    <t>1770-10-24</t>
  </si>
  <si>
    <t>Mercuriì den 24 Oftober</t>
  </si>
  <si>
    <t>NL-HaNA_3825_0463-page-925-col-0-tr-1-line-35</t>
  </si>
  <si>
    <t>Martis den 23 OSobey</t>
  </si>
  <si>
    <t>Jovis den 25 October</t>
  </si>
  <si>
    <t>1779-07-22</t>
  </si>
  <si>
    <t>Jovis den 22 July</t>
  </si>
  <si>
    <t>NL-HaNA_3834_0397-page-792-col-1-tr-3-line-0</t>
  </si>
  <si>
    <t>Mercurii den 21 July</t>
  </si>
  <si>
    <t>Veneris den 23 Jul</t>
  </si>
  <si>
    <t>1792-01-18</t>
  </si>
  <si>
    <t>NL-HaNA_3856_0124-page-246-col-1-tr-1-line-10</t>
  </si>
  <si>
    <t>Martis den 17 TFanuar</t>
  </si>
  <si>
    <t>Fovis den 19 January</t>
  </si>
  <si>
    <t>1767-11-19</t>
  </si>
  <si>
    <t>1769-04-04</t>
  </si>
  <si>
    <t>NL-HaNA_3824_0198-page-394-col-0-tr-1-line-0</t>
  </si>
  <si>
    <t>Lune den 3 April</t>
  </si>
  <si>
    <t>Merenriì den 5 April</t>
  </si>
  <si>
    <t>1774-04-15</t>
  </si>
  <si>
    <t>Vekeris dek 14 April</t>
  </si>
  <si>
    <t>NL-HaNA_3829_0199-page-397-col-1-tr-0-line-0</t>
  </si>
  <si>
    <t>Fous den 14 April</t>
  </si>
  <si>
    <t>Lana den 18, April</t>
  </si>
  <si>
    <t>1779-09-06</t>
  </si>
  <si>
    <t>Lune den 6 September</t>
  </si>
  <si>
    <t>NL-HaNA_3834_0454-page-907-col-1-tr-0-line-30</t>
  </si>
  <si>
    <t>Veneris den 3 September</t>
  </si>
  <si>
    <t>1744-03-04</t>
  </si>
  <si>
    <t>Martis den 3 Maart</t>
  </si>
  <si>
    <t>Jovis den s Maart</t>
  </si>
  <si>
    <t>1710-01-15</t>
  </si>
  <si>
    <t>Mercuri den 15. Januarii</t>
  </si>
  <si>
    <t>NL-HaNA_3765_0053-page-105-col-0-tr-1-line-0</t>
  </si>
  <si>
    <t>Martis den 14. Januari</t>
  </si>
  <si>
    <t>Jovis den 16. Januari</t>
  </si>
  <si>
    <t>1722-11-08</t>
  </si>
  <si>
    <t>1760-01-04</t>
  </si>
  <si>
    <t>Veneris den 4 January</t>
  </si>
  <si>
    <t>NL-HaNA_3815_0094-page-186-col-1-tr-2-line-0</t>
  </si>
  <si>
    <t>Jovis den 3 January</t>
  </si>
  <si>
    <t>Lune den 7 January</t>
  </si>
  <si>
    <t>1720-06-10</t>
  </si>
  <si>
    <t>Lune den 10. Juni</t>
  </si>
  <si>
    <t>NL-HaNA_3775_0248-page-494-col-0-tr-2-line-0</t>
  </si>
  <si>
    <t>Sabbathi den 8. Juni</t>
  </si>
  <si>
    <t>Martis den 1. Junit</t>
  </si>
  <si>
    <t>1726-12-01</t>
  </si>
  <si>
    <t>NL-HaNA_3781_0477-page-952-col-0-tr-2-line-0</t>
  </si>
  <si>
    <t>1781-05-23</t>
  </si>
  <si>
    <t>Mercutii den 23 Mey</t>
  </si>
  <si>
    <t>NL-HaNA_3836_0416-page-831-col-0-tr-2-line-0</t>
  </si>
  <si>
    <t>Martis den 22 Mey</t>
  </si>
  <si>
    <t>Voneris den 25 Mey</t>
  </si>
  <si>
    <t>1775-06-27</t>
  </si>
  <si>
    <t>Martis den 27 Jun</t>
  </si>
  <si>
    <t>NL-HaNA_3830_0298-page-594-col-1-tr-1-line-55</t>
  </si>
  <si>
    <t>Dininica den 25 Jany</t>
  </si>
  <si>
    <t>Mercurii don 28 Jany</t>
  </si>
  <si>
    <t>1766-03-22</t>
  </si>
  <si>
    <t>NL-HaNA_3821_0172-page-343-col-0-tr-1-line-17</t>
  </si>
  <si>
    <t>Lune dit 24 Mairt</t>
  </si>
  <si>
    <t>1707-03-14</t>
  </si>
  <si>
    <t xml:space="preserve">Luna den 1. Maert </t>
  </si>
  <si>
    <t>NL-HaNA_3762_0155-page-309-col-1-tr-2-line-6</t>
  </si>
  <si>
    <t>Sabbuthi den 12. Maer</t>
  </si>
  <si>
    <t>Martisden 15. Maert</t>
  </si>
  <si>
    <t>1769-12-17</t>
  </si>
  <si>
    <t>NL-HaNA_3824_0534-page-1066-col-1-tr-1-line-0</t>
  </si>
  <si>
    <t>Veneris den 15 December</t>
  </si>
  <si>
    <t>Lune den 18 December</t>
  </si>
  <si>
    <t>1781-04-10</t>
  </si>
  <si>
    <t>Martis den 10 April</t>
  </si>
  <si>
    <t>NL-HaNA_3836_0333-page-664-col-0-tr-1-line-0</t>
  </si>
  <si>
    <t>Luna den 9 April</t>
  </si>
  <si>
    <t>Mercurii den 11 Apri</t>
  </si>
  <si>
    <t>1767-11-03</t>
  </si>
  <si>
    <t>Martis den 3 November</t>
  </si>
  <si>
    <t>NL-HaNA_3822_0410-page-818-col-0-tr-1-line-0</t>
  </si>
  <si>
    <t>Dominica den November</t>
  </si>
  <si>
    <t>1768-11-18</t>
  </si>
  <si>
    <t xml:space="preserve"> ener Won 18 Nobember e</t>
  </si>
  <si>
    <t>NL-HaNA_3823_0391-page-781-col-0-tr-0-line-31</t>
  </si>
  <si>
    <t>1794-01-22</t>
  </si>
  <si>
    <t>NL-HaNA_3860_0031-page-60-col-1-tr-1-line-2</t>
  </si>
  <si>
    <t>Tovis den 8 January</t>
  </si>
  <si>
    <t>1710-12-04</t>
  </si>
  <si>
    <t>NL-HaNA_3765_0678-page-1355-col-1-tr-2-line-0</t>
  </si>
  <si>
    <t>Veneris den . December</t>
  </si>
  <si>
    <t>1707-11-03</t>
  </si>
  <si>
    <t>Fovis den 3. Novembe</t>
  </si>
  <si>
    <t>NL-HaNA_3762_0577-page-1153-col-0-tr-2-line-0</t>
  </si>
  <si>
    <t>Mercurii den 2. Novembe</t>
  </si>
  <si>
    <t>Veneris den 4 November</t>
  </si>
  <si>
    <t>1788-04-28</t>
  </si>
  <si>
    <t>Lune den 28 April</t>
  </si>
  <si>
    <t>NL-HaNA_3850_0200-page-398-col-1-tr-1-line-0</t>
  </si>
  <si>
    <t>Veneris den 25 April</t>
  </si>
  <si>
    <t>Martis den 29 April</t>
  </si>
  <si>
    <t>1726-10-09</t>
  </si>
  <si>
    <t>Mercurii den 9. Ofober</t>
  </si>
  <si>
    <t>NL-HaNA_3781_0403-page-805-col-1-tr-1-line-0</t>
  </si>
  <si>
    <t>Martis den 8, Oftobe</t>
  </si>
  <si>
    <t>Fovis den 10. Oftobe</t>
  </si>
  <si>
    <t>1751-11-22</t>
  </si>
  <si>
    <t>Lune den 22 Novemben</t>
  </si>
  <si>
    <t>NL-HaNA_3806_0412-page-823-col-1-tr-2-line-0</t>
  </si>
  <si>
    <t>Sabbatthi den 20 Novembe</t>
  </si>
  <si>
    <t>Martis den 23 November</t>
  </si>
  <si>
    <t>1750-06-15</t>
  </si>
  <si>
    <t>Lune den 15 Jans</t>
  </si>
  <si>
    <t>NL-HaNA_3805_0253-page-504-col-1-tr-0-line-0</t>
  </si>
  <si>
    <t>Martis den 16 Jans.</t>
  </si>
  <si>
    <t>1787-05-20</t>
  </si>
  <si>
    <t>NL-HaNA_3848_0370-page-739-col-0-tr-2-line-0</t>
  </si>
  <si>
    <t>Veneris den 15 Mey</t>
  </si>
  <si>
    <t>Lane den 21 Mey</t>
  </si>
  <si>
    <t>1731-01-28</t>
  </si>
  <si>
    <t>NL-HaNA_3786_0069-page-137-col-1-tr-1-line-0</t>
  </si>
  <si>
    <t>Lune den 29. Januarij</t>
  </si>
  <si>
    <t>1710-06-11</t>
  </si>
  <si>
    <t>Mercuri den 11. Junii</t>
  </si>
  <si>
    <t>NL-HaNA_3765_0354-page-706-col-0-tr-1-line-0</t>
  </si>
  <si>
    <t>Martis den 10. Juni</t>
  </si>
  <si>
    <t>Jovis den 12. Juni</t>
  </si>
  <si>
    <t>1745-09-11</t>
  </si>
  <si>
    <t>Sabbathi den 11 September</t>
  </si>
  <si>
    <t>NL-HaNA_3800_0384-page-767-col-0-tr-1-line-0</t>
  </si>
  <si>
    <t>Veneris den 10 September</t>
  </si>
  <si>
    <t>Luna den 13 September</t>
  </si>
  <si>
    <t>1762-12-22</t>
  </si>
  <si>
    <t>Mercarii den 22 December</t>
  </si>
  <si>
    <t>NL-HaNA_3817_0516-page-1030-col-0-tr-2-line-0</t>
  </si>
  <si>
    <t>Martis den 21 Decembes</t>
  </si>
  <si>
    <t>Jovis den 23. Deeembe</t>
  </si>
  <si>
    <t>1738-10-05</t>
  </si>
  <si>
    <t>NL-HaNA_3793_0323-page-644-col-1-tr-2-line-0</t>
  </si>
  <si>
    <t>Sabbathi den 4 October</t>
  </si>
  <si>
    <t>Lune den 6. October</t>
  </si>
  <si>
    <t>1710-05-09</t>
  </si>
  <si>
    <t>Veneris den 9. Me</t>
  </si>
  <si>
    <t>NL-HaNA_3765_0291-page-581-col-0-tr-1-line-0</t>
  </si>
  <si>
    <t>Jovis den 8. Me</t>
  </si>
  <si>
    <t>Sabbathi den 10. Me</t>
  </si>
  <si>
    <t>1716-03-18</t>
  </si>
  <si>
    <t>Mercurii den 18. Maer</t>
  </si>
  <si>
    <t>NL-HaNA_3771_0134-page-267-col-0-tr-1-line-0</t>
  </si>
  <si>
    <t>Martis den 17. Maer</t>
  </si>
  <si>
    <t>Tovis den 109. Mae</t>
  </si>
  <si>
    <t>1765-11-13</t>
  </si>
  <si>
    <t>Mercuri den 13 November</t>
  </si>
  <si>
    <t>NL-HaNA_3820_0419-page-836-col-0-tr-1-line-0</t>
  </si>
  <si>
    <t>Martis den 12 November</t>
  </si>
  <si>
    <t>1753-08-03</t>
  </si>
  <si>
    <t>Veneris den 3 AuguWy</t>
  </si>
  <si>
    <t>NL-HaNA_3808_0325-page-649-col-0-tr-4-line-0</t>
  </si>
  <si>
    <t>Jovis den 2 Augufij</t>
  </si>
  <si>
    <t>1718-08-31</t>
  </si>
  <si>
    <t>Mercuris den 31. Aaguft</t>
  </si>
  <si>
    <t>NL-HaNA_3773_0414-page-826-col-1-tr-2-line-0</t>
  </si>
  <si>
    <t>Martis den 30. August</t>
  </si>
  <si>
    <t>Jovis den 1. Septembe</t>
  </si>
  <si>
    <t>1770-01-31</t>
  </si>
  <si>
    <t>Mercurii den 31 January</t>
  </si>
  <si>
    <t>NL-HaNA_3825_0128-page-254-col-1-tr-0-line-0</t>
  </si>
  <si>
    <t>Martis den 30 January</t>
  </si>
  <si>
    <t>Jovis dem 1 Febraary</t>
  </si>
  <si>
    <t>1721-01-11</t>
  </si>
  <si>
    <t>Sabbathi den 11. Januari</t>
  </si>
  <si>
    <t>NL-HaNA_3776_0059-page-117-col-1-tr-2-line-0</t>
  </si>
  <si>
    <t>Lune den 13. Januarij</t>
  </si>
  <si>
    <t>1780-01-13</t>
  </si>
  <si>
    <t>Jovis den 13 January</t>
  </si>
  <si>
    <t>NL-HaNA_3835_0121-page-240-col-1-tr-1-line-0</t>
  </si>
  <si>
    <t>Mercurii den 12 January</t>
  </si>
  <si>
    <t>Veneris den 14 January</t>
  </si>
  <si>
    <t>1729-11-08</t>
  </si>
  <si>
    <t>Martis den 8. Novembe</t>
  </si>
  <si>
    <t>NL-HaNA_3784_0397-page-792-col-1-tr-1-line-0</t>
  </si>
  <si>
    <t>Lune den 7. November</t>
  </si>
  <si>
    <t>Mercunni den, 9; Novemb</t>
  </si>
  <si>
    <t>1720-07-25</t>
  </si>
  <si>
    <t>Jovis den 25. Jul</t>
  </si>
  <si>
    <t>NL-HaNA_3775_0311-page-620-col-0-tr-2-line-0</t>
  </si>
  <si>
    <t>Veneris den 26. Jul</t>
  </si>
  <si>
    <t>1731-01-11</t>
  </si>
  <si>
    <t>Jovis den 11, Januari</t>
  </si>
  <si>
    <t>NL-HaNA_3786_0051-page-101-col-0-tr-2-line-0</t>
  </si>
  <si>
    <t>Mercuri den 10, Januarii</t>
  </si>
  <si>
    <t>Vencris den 12. Januari</t>
  </si>
  <si>
    <t>1748-04-29</t>
  </si>
  <si>
    <t>Luna den 29 April</t>
  </si>
  <si>
    <t>NL-HaNA_3803_0221-page-440-col-0-tr-1-line-0</t>
  </si>
  <si>
    <t>Sabbathi den 27 April</t>
  </si>
  <si>
    <t>Martis den 30 April</t>
  </si>
  <si>
    <t>1727-12-01</t>
  </si>
  <si>
    <t>Lune den 1. December</t>
  </si>
  <si>
    <t>NL-HaNA_3782_0478-page-954-col-1-tr-2-line-0</t>
  </si>
  <si>
    <t>Sabbathi den 29. Novembe</t>
  </si>
  <si>
    <t>Martis den 2, Decembe</t>
  </si>
  <si>
    <t>1767-03-29</t>
  </si>
  <si>
    <t>NL-HaNA_3822_0162-page-322-col-0-tr-1-line-0</t>
  </si>
  <si>
    <t>Veneris den 27 Maart</t>
  </si>
  <si>
    <t>Lune den 30 Maart</t>
  </si>
  <si>
    <t>1782-11-24</t>
  </si>
  <si>
    <t>NL-HaNA_3839_0242-page-482-col-1-tr-2-line-0</t>
  </si>
  <si>
    <t>Veneris den 22 November</t>
  </si>
  <si>
    <t>Luue den 25 November</t>
  </si>
  <si>
    <t>1758-04-01</t>
  </si>
  <si>
    <t>NL-HaNA_3813_0187-page-373-col-1-tr-4-line-0</t>
  </si>
  <si>
    <t>Veneris den 31 Maart</t>
  </si>
  <si>
    <t>Lane den 3 äpril.</t>
  </si>
  <si>
    <t>1734-08-22</t>
  </si>
  <si>
    <t>NL-HaNA_3789_0258-page-515-col-0-tr-0-line-0</t>
  </si>
  <si>
    <t>Sabbathi den 21. Augusl</t>
  </si>
  <si>
    <t>Lane den 23, Aaguftt</t>
  </si>
  <si>
    <t>1720-08-22</t>
  </si>
  <si>
    <t>Veneris den 23. August</t>
  </si>
  <si>
    <t>1788-07-15</t>
  </si>
  <si>
    <t>Martis den 15 July</t>
  </si>
  <si>
    <t>NL-HaNA_3851_0025-page-49-col-1-tr-2-line-0</t>
  </si>
  <si>
    <t>1707-03-07</t>
  </si>
  <si>
    <t>Luna den 7. Maert</t>
  </si>
  <si>
    <t>NL-HaNA_3762_0142-page-283-col-0-tr-2-line-0</t>
  </si>
  <si>
    <t>Sabbatbi den 5. Maer</t>
  </si>
  <si>
    <t>Martis den 8. Maer</t>
  </si>
  <si>
    <t>1705-03-13</t>
  </si>
  <si>
    <t>Weneris den 13. Maer</t>
  </si>
  <si>
    <t>NL-HaNA_3760_0179-page-356-col-0-tr-0-line-24</t>
  </si>
  <si>
    <t>Fovisden 12. Maert</t>
  </si>
  <si>
    <t>Sabbatht den 14. Maer</t>
  </si>
  <si>
    <t>1739-02-14</t>
  </si>
  <si>
    <t>Sabbathi den 14 February</t>
  </si>
  <si>
    <t>NL-HaNA_3794_0089-page-177-col-1-tr-1-line-0</t>
  </si>
  <si>
    <t>Veneris den 13 Februars</t>
  </si>
  <si>
    <t>Lune den 16 February</t>
  </si>
  <si>
    <t>1736-10-11</t>
  </si>
  <si>
    <t>Jovis den rt. Octobe</t>
  </si>
  <si>
    <t>NL-HaNA_3791_0338-page-674-col-1-tr-1-line-0</t>
  </si>
  <si>
    <t>Mercurii den 10. Octobe</t>
  </si>
  <si>
    <t>Veneris den 12. Oftobe</t>
  </si>
  <si>
    <t>1737-11-14</t>
  </si>
  <si>
    <t>NL-HaNA_3792_0313-page-624-col-1-tr-1-line-0</t>
  </si>
  <si>
    <t>Veneris den 15 November</t>
  </si>
  <si>
    <t>1761-06-09</t>
  </si>
  <si>
    <t>Martis den o Jany</t>
  </si>
  <si>
    <t>NL-HaNA_3816_0281-page-561-col-1-tr-1-line-0</t>
  </si>
  <si>
    <t>Lune den 3 JFuny</t>
  </si>
  <si>
    <t>1734-02-25</t>
  </si>
  <si>
    <t>Jovis den 25. Februari</t>
  </si>
  <si>
    <t>NL-HaNA_3789_0088-page-174-col-1-tr-1-line-0</t>
  </si>
  <si>
    <t>Mercuri den 24, Februarii</t>
  </si>
  <si>
    <t>Veneris den 26. Februari</t>
  </si>
  <si>
    <t>1770-12-18</t>
  </si>
  <si>
    <t>Martis den 18 December</t>
  </si>
  <si>
    <t>NL-HaNA_3825_0536-page-1070-col-0-tr-2-line-0</t>
  </si>
  <si>
    <t>Lune den 17 December</t>
  </si>
  <si>
    <t>1742-05-20</t>
  </si>
  <si>
    <t>NL-HaNA_3797_0217-page-432-col-0-tr-2-line-0</t>
  </si>
  <si>
    <t>Sabbatht den 19 Mey</t>
  </si>
  <si>
    <t>Lune den 21 Mey</t>
  </si>
  <si>
    <t>1738-10-23</t>
  </si>
  <si>
    <t>Mercurii den 22. Octobe</t>
  </si>
  <si>
    <t>Veneris den 24. Octobe</t>
  </si>
  <si>
    <t>1737-02-10</t>
  </si>
  <si>
    <t>NL-HaNA_3792_0040-page-78-col-0-tr-1-line-0</t>
  </si>
  <si>
    <t>Luna den 11. February</t>
  </si>
  <si>
    <t>1786-01-14</t>
  </si>
  <si>
    <t>NL-HaNA_3846_0159-page-316-col-1-tr-3-line-0</t>
  </si>
  <si>
    <t>Lune den 16 January</t>
  </si>
  <si>
    <t>1707-11-10</t>
  </si>
  <si>
    <t>Jovis den 10. Novembe</t>
  </si>
  <si>
    <t>NL-HaNA_3762_0589-page-1177-col-0-tr-1-line-0</t>
  </si>
  <si>
    <t>Mercurii den 9. Novembe</t>
  </si>
  <si>
    <t>Veneris den 11. Novembe</t>
  </si>
  <si>
    <t>1786-04-16</t>
  </si>
  <si>
    <t>NL-HaNA_3846_0340-page-679-col-1-tr-2-line-0</t>
  </si>
  <si>
    <t>Veneris den 14 April</t>
  </si>
  <si>
    <t>Martis den 18 April</t>
  </si>
  <si>
    <t>1709-05-31</t>
  </si>
  <si>
    <t>Veneris den 31. Me</t>
  </si>
  <si>
    <t>NL-HaNA_3764_0316-page-631-col-0-tr-1-line-0</t>
  </si>
  <si>
    <t>Jovis den 30. Me</t>
  </si>
  <si>
    <t>Sabbathi den 1. Juni</t>
  </si>
  <si>
    <t>1784-06-21</t>
  </si>
  <si>
    <t>Lune den 21 Jany</t>
  </si>
  <si>
    <t>NL-HaNA_3842_0389-page-777-col-0-tr-0-line-0</t>
  </si>
  <si>
    <t>Veueris den 18 Jany</t>
  </si>
  <si>
    <t>Martis den 22 Juny</t>
  </si>
  <si>
    <t>1737-01-07</t>
  </si>
  <si>
    <t>Lune den 7. January</t>
  </si>
  <si>
    <t>NL-HaNA_3792_0010-page-18-col-0-tr-3-line-0</t>
  </si>
  <si>
    <t>Sabbathi den 5. lanuary</t>
  </si>
  <si>
    <t>Martis den 8. January</t>
  </si>
  <si>
    <t>1783-01-08</t>
  </si>
  <si>
    <t>Mercurii den $ January</t>
  </si>
  <si>
    <t>NL-HaNA_3840_0012-page-22-col-1-tr-1-line-0</t>
  </si>
  <si>
    <t>Jovis den 9 January</t>
  </si>
  <si>
    <t>1778-08-28</t>
  </si>
  <si>
    <t>Veneris den 28 Auzufty</t>
  </si>
  <si>
    <t>NL-HaNA_3833_0414-page-827-col-0-tr-1-line-0</t>
  </si>
  <si>
    <t>Lana den 31 Auguliy</t>
  </si>
  <si>
    <t>1735-10-20</t>
  </si>
  <si>
    <t>Jovis. den 20, Octob</t>
  </si>
  <si>
    <t>NL-HaNA_3790_0344-page-686-col-1-tr-1-line-0</t>
  </si>
  <si>
    <t>Veneris den 21, Oftobe</t>
  </si>
  <si>
    <t>1764-08-25</t>
  </si>
  <si>
    <t>NL-HaNA_3819_0360-page-719-col-1-tr-0-line-52</t>
  </si>
  <si>
    <t>Veneris den 24 Augufty</t>
  </si>
  <si>
    <t>1722-12-20</t>
  </si>
  <si>
    <t>1773-08-23</t>
  </si>
  <si>
    <t>Lune den 23 Angusty</t>
  </si>
  <si>
    <t>NL-HaNA_3828_0351-page-701-col-1-tr-1-line-0</t>
  </si>
  <si>
    <t>Martis den 24 Augufty</t>
  </si>
  <si>
    <t>1776-12-24</t>
  </si>
  <si>
    <t>Lune den 23 December</t>
  </si>
  <si>
    <t>Veneris den 27 December</t>
  </si>
  <si>
    <t>1784-01-13</t>
  </si>
  <si>
    <t>Mariis den 13 Jánvary</t>
  </si>
  <si>
    <t>NL-HaNA_3842_0136-page-271-col-1-tr-2-line-0</t>
  </si>
  <si>
    <t>Luue den 12 January</t>
  </si>
  <si>
    <t>Mereurii den 14 January</t>
  </si>
  <si>
    <t>1779-12-25</t>
  </si>
  <si>
    <t>NL-HaNA_3834_0597-page-1192-col-0-tr-2-line-0</t>
  </si>
  <si>
    <t>Veneris den 24 December</t>
  </si>
  <si>
    <t>Lune den 27 December</t>
  </si>
  <si>
    <t>1718-01-19</t>
  </si>
  <si>
    <t>Mercurii den 19. Jannari</t>
  </si>
  <si>
    <t>NL-HaNA_3773_0064-page-126-col-0-tr-1-line-0</t>
  </si>
  <si>
    <t>Martis den 18. Januari</t>
  </si>
  <si>
    <t>1708-03-09</t>
  </si>
  <si>
    <t>Veneris den 9. Maer</t>
  </si>
  <si>
    <t>NL-HaNA_3763_0130-page-259-col-1-tr-2-line-0</t>
  </si>
  <si>
    <t>Jovis den 8. Maer</t>
  </si>
  <si>
    <t>Sabbathi den to. Maer</t>
  </si>
  <si>
    <t>1766-05-31</t>
  </si>
  <si>
    <t>NL-HaNA_3821_0243-page-485-col-0-tr-0-line-0</t>
  </si>
  <si>
    <t>Veneris den 30 Mey</t>
  </si>
  <si>
    <t>Lune den 2 Jany</t>
  </si>
  <si>
    <t>1726-07-22</t>
  </si>
  <si>
    <t>Lune den 22. Juli</t>
  </si>
  <si>
    <t>NL-HaNA_3781_0306-page-610-col-1-tr-1-line-0</t>
  </si>
  <si>
    <t>Sabbathi den 20. Jul</t>
  </si>
  <si>
    <t>Martis den 23. Jul</t>
  </si>
  <si>
    <t>1719-08-30</t>
  </si>
  <si>
    <t>Mercurii den 30. August</t>
  </si>
  <si>
    <t>NL-HaNA_3774_0384-page-767-col-1-tr-2-line-0</t>
  </si>
  <si>
    <t>Martis den 29. August</t>
  </si>
  <si>
    <t>Jovis den 31. August</t>
  </si>
  <si>
    <t>1731-01-19</t>
  </si>
  <si>
    <t>Veneris den 19. Januari</t>
  </si>
  <si>
    <t>NL-HaNA_3786_0059-page-117-col-0-tr-1-line-0</t>
  </si>
  <si>
    <t>Jovis den 18. Januari</t>
  </si>
  <si>
    <t>Sabbathi den 20. Fauuari</t>
  </si>
  <si>
    <t>1760-12-11</t>
  </si>
  <si>
    <t>NL-HaNA_3815_0512-page-1023-col-0-tr-1-line-51</t>
  </si>
  <si>
    <t>Veneris den 12 December</t>
  </si>
  <si>
    <t>1722-12-21</t>
  </si>
  <si>
    <t>1722-01-23</t>
  </si>
  <si>
    <t>Veneris den 23. Januari</t>
  </si>
  <si>
    <t>NL-HaNA_3777_0072-page-143-col-1-tr-2-line-0</t>
  </si>
  <si>
    <t>Jovis den 22. Januari</t>
  </si>
  <si>
    <t>Sabbathi den 24. Jannari</t>
  </si>
  <si>
    <t>1766-08-17</t>
  </si>
  <si>
    <t>NL-HaNA_3821_0323-page-644-col-1-tr-0-line-45</t>
  </si>
  <si>
    <t>1768-06-03</t>
  </si>
  <si>
    <t>NL-HaNA_3823_0238-page-474-col-1-tr-4-line-0</t>
  </si>
  <si>
    <t>Jovis den 2 Juny</t>
  </si>
  <si>
    <t>Lune den 6 Jany</t>
  </si>
  <si>
    <t>1741-12-04</t>
  </si>
  <si>
    <t>NL-HaNA_3796_0456-page-910-col-0-tr-1-line-0</t>
  </si>
  <si>
    <t>Sabbathi den 2 December</t>
  </si>
  <si>
    <t>Martis den s December</t>
  </si>
  <si>
    <t>1721-04-29</t>
  </si>
  <si>
    <t>Martis den 29. Apri</t>
  </si>
  <si>
    <t>NL-HaNA_3776_0193-page-385-col-1-tr-2-line-0</t>
  </si>
  <si>
    <t>Mercurii den 30. Apri</t>
  </si>
  <si>
    <t>1745-02-17</t>
  </si>
  <si>
    <t>Mercurii den 17 February</t>
  </si>
  <si>
    <t>NL-HaNA_3800_0118-page-235-col-0-tr-2-line-0</t>
  </si>
  <si>
    <t>Martis den 16 February</t>
  </si>
  <si>
    <t>Jovis den 18 Hebraary</t>
  </si>
  <si>
    <t>1786-10-06</t>
  </si>
  <si>
    <t>Veneris den 6 Oftober</t>
  </si>
  <si>
    <t>NL-HaNA_3847_0162-page-323-col-0-tr-1-line-0</t>
  </si>
  <si>
    <t>Jovis den 5 Odtober</t>
  </si>
  <si>
    <t>Lune den vo Oftober</t>
  </si>
  <si>
    <t>1732-12-22</t>
  </si>
  <si>
    <t>Lune den 22. Deecmber</t>
  </si>
  <si>
    <t>NL-HaNA_3787_0405-page-808-col-1-tr-1-line-0</t>
  </si>
  <si>
    <t>Sabbathi den 20. Decembe</t>
  </si>
  <si>
    <t>1793-10-12</t>
  </si>
  <si>
    <t>NL-HaNA_3859_0145-page-289-col-0-tr-2-line-0</t>
  </si>
  <si>
    <t>Veneris den 11 Oftober</t>
  </si>
  <si>
    <t>Lune den 14 Oêobers</t>
  </si>
  <si>
    <t>1768-05-08</t>
  </si>
  <si>
    <t>NL-HaNA_3823_0212-page-423-col-1-tr-1-line-0</t>
  </si>
  <si>
    <t>Lune den 9 Mey</t>
  </si>
  <si>
    <t>1707-09-13</t>
  </si>
  <si>
    <t>Martis den 13. Septembe</t>
  </si>
  <si>
    <t>NL-HaNA_3762_0484-page-967-col-1-tr-2-line-0</t>
  </si>
  <si>
    <t xml:space="preserve">Lun den 12. September </t>
  </si>
  <si>
    <t>Mercurii den 14. Septembe</t>
  </si>
  <si>
    <t>1796-03-01</t>
  </si>
  <si>
    <t>wong_date_printed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</si>
</sst>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8"/>
  <sheetViews>
    <sheetView tabSelected="1" workbookViewId="0">
      <pane ySplit="1" topLeftCell="A73" activePane="bottomLeft" state="frozen"/>
      <selection pane="bottomLeft" activeCell="K82" sqref="K82"/>
    </sheetView>
  </sheetViews>
  <sheetFormatPr baseColWidth="10" defaultColWidth="8.83203125" defaultRowHeight="15" x14ac:dyDescent="0.2"/>
  <cols>
    <col min="1" max="1" width="10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t="s">
        <v>31</v>
      </c>
      <c r="D2" t="b">
        <v>1</v>
      </c>
      <c r="E2" t="b">
        <v>1</v>
      </c>
      <c r="F2">
        <v>1</v>
      </c>
      <c r="I2" t="s">
        <v>32</v>
      </c>
      <c r="J2">
        <v>3815</v>
      </c>
      <c r="K2">
        <v>238</v>
      </c>
      <c r="L2">
        <v>2417</v>
      </c>
      <c r="M2">
        <v>1085</v>
      </c>
      <c r="N2">
        <f t="shared" ref="N2:N33" si="0">K2*2</f>
        <v>476</v>
      </c>
      <c r="O2">
        <v>475</v>
      </c>
      <c r="P2">
        <v>0</v>
      </c>
      <c r="Q2">
        <v>1</v>
      </c>
      <c r="R2">
        <v>0</v>
      </c>
      <c r="S2" t="s">
        <v>33</v>
      </c>
      <c r="T2" t="str">
        <f>HYPERLINK("https://images.diginfra.net/framed3.html?imagesetuuid=c649f39d-5b94-4d9d-8000-33acd4342c36&amp;uri=https://images.diginfra.net/iiif/NL-HaNA_1.01.02/3815/NL-HaNA_1.01.02_3815_0238.jpg", "viewer_url")</f>
        <v>viewer_url</v>
      </c>
      <c r="U2" t="str">
        <f>HYPERLINK("https://images.diginfra.net/iiif/NL-HaNA_1.01.02/3815/NL-HaNA_1.01.02_3815_0238.jpg/2417,1085,1079,2337/full/0/default.jpg", "iiif_url")</f>
        <v>iiif_url</v>
      </c>
      <c r="V2" t="s">
        <v>33</v>
      </c>
      <c r="W2" t="s">
        <v>34</v>
      </c>
      <c r="X2" t="str">
        <f>HYPERLINK("https://images.diginfra.net/framed3.html?imagesetuuid=c649f39d-5b94-4d9d-8000-33acd4342c36&amp;uri=https://images.diginfra.net/iiif/NL-HaNA_1.01.02/3815/NL-HaNA_1.01.02_3815_0236.jpg", "prev_meeting_viewer_url")</f>
        <v>prev_meeting_viewer_url</v>
      </c>
      <c r="Y2" t="str">
        <f>HYPERLINK("https://images.diginfra.net/iiif/NL-HaNA_1.01.02/3815/NL-HaNA_1.01.02_3815_0236.jpg/1279,982,1115,2332/full/0/default.jpg", "prev_meeting_iiif_url")</f>
        <v>prev_meeting_iiif_url</v>
      </c>
      <c r="Z2" t="s">
        <v>33</v>
      </c>
      <c r="AA2" t="s">
        <v>35</v>
      </c>
      <c r="AB2" t="str">
        <f>HYPERLINK("https://images.diginfra.net/framed3.html?imagesetuuid=c649f39d-5b94-4d9d-8000-33acd4342c36&amp;uri=https://images.diginfra.net/iiif/NL-HaNA_1.01.02/3815/NL-HaNA_1.01.02_3815_0239.jpg", "next_meeting_viewer_url")</f>
        <v>next_meeting_viewer_url</v>
      </c>
      <c r="AC2" t="str">
        <f>HYPERLINK("https://images.diginfra.net/iiif/NL-HaNA_1.01.02/3815/NL-HaNA_1.01.02_3815_0239.jpg/3353,712,1110,2724/full/0/default.jpg", "next_meeting_iiif_url")</f>
        <v>next_meeting_iiif_url</v>
      </c>
    </row>
    <row r="3" spans="1:29" x14ac:dyDescent="0.2">
      <c r="A3" t="s">
        <v>36</v>
      </c>
      <c r="B3" t="s">
        <v>37</v>
      </c>
      <c r="C3" t="s">
        <v>38</v>
      </c>
      <c r="D3" t="b">
        <v>1</v>
      </c>
      <c r="E3" t="b">
        <v>1</v>
      </c>
      <c r="F3">
        <v>1</v>
      </c>
      <c r="I3" t="s">
        <v>39</v>
      </c>
      <c r="J3">
        <v>3864</v>
      </c>
      <c r="K3">
        <v>106</v>
      </c>
      <c r="L3">
        <v>259</v>
      </c>
      <c r="M3">
        <v>1414</v>
      </c>
      <c r="N3">
        <f t="shared" si="0"/>
        <v>212</v>
      </c>
      <c r="O3">
        <v>210</v>
      </c>
      <c r="P3">
        <v>0</v>
      </c>
      <c r="Q3">
        <v>1</v>
      </c>
      <c r="R3">
        <v>0</v>
      </c>
      <c r="S3" t="s">
        <v>33</v>
      </c>
      <c r="T3" t="str">
        <f>HYPERLINK("https://images.diginfra.net/framed3.html?imagesetuuid=4b21e7ce-04d7-429b-9edd-e191341917f4&amp;uri=https://images.diginfra.net/iiif/NL-HaNA_1.01.02/3864/NL-HaNA_1.01.02_3864_0106.jpg", "viewer_url")</f>
        <v>viewer_url</v>
      </c>
      <c r="U3" t="str">
        <f>HYPERLINK("https://images.diginfra.net/iiif/NL-HaNA_1.01.02/3864/NL-HaNA_1.01.02_3864_0106.jpg/259,1414,1080,2014/full/0/default.jpg", "iiif_url")</f>
        <v>iiif_url</v>
      </c>
      <c r="V3" t="s">
        <v>33</v>
      </c>
      <c r="W3" t="s">
        <v>40</v>
      </c>
      <c r="X3" t="str">
        <f>HYPERLINK("https://images.diginfra.net/framed3.html?imagesetuuid=4b21e7ce-04d7-429b-9edd-e191341917f4&amp;uri=https://images.diginfra.net/iiif/NL-HaNA_1.01.02/3864/NL-HaNA_1.01.02_3864_0100.jpg", "prev_meeting_viewer_url")</f>
        <v>prev_meeting_viewer_url</v>
      </c>
      <c r="Y3" t="str">
        <f>HYPERLINK("https://images.diginfra.net/iiif/NL-HaNA_1.01.02/3864/NL-HaNA_1.01.02_3864_0100.jpg/243,1110,1100,2259/full/0/default.jpg", "prev_meeting_iiif_url")</f>
        <v>prev_meeting_iiif_url</v>
      </c>
      <c r="Z3" t="s">
        <v>33</v>
      </c>
      <c r="AA3" t="s">
        <v>41</v>
      </c>
      <c r="AB3" t="str">
        <f>HYPERLINK("https://images.diginfra.net/framed3.html?imagesetuuid=4b21e7ce-04d7-429b-9edd-e191341917f4&amp;uri=https://images.diginfra.net/iiif/NL-HaNA_1.01.02/3864/NL-HaNA_1.01.02_3864_0111.jpg", "next_meeting_viewer_url")</f>
        <v>next_meeting_viewer_url</v>
      </c>
      <c r="AC3" t="str">
        <f>HYPERLINK("https://images.diginfra.net/iiif/NL-HaNA_1.01.02/3864/NL-HaNA_1.01.02_3864_0111.jpg/507,2940,789,329/full/0/default.jpg", "next_meeting_iiif_url")</f>
        <v>next_meeting_iiif_url</v>
      </c>
    </row>
    <row r="4" spans="1:29" x14ac:dyDescent="0.2">
      <c r="A4" t="s">
        <v>42</v>
      </c>
      <c r="B4" t="s">
        <v>37</v>
      </c>
      <c r="D4" t="b">
        <v>1</v>
      </c>
      <c r="E4" t="b">
        <v>1</v>
      </c>
      <c r="F4">
        <v>1</v>
      </c>
      <c r="H4" t="s">
        <v>43</v>
      </c>
      <c r="J4">
        <v>3833</v>
      </c>
      <c r="K4">
        <v>227</v>
      </c>
      <c r="L4">
        <v>2537</v>
      </c>
      <c r="M4">
        <v>1012</v>
      </c>
      <c r="N4">
        <f t="shared" si="0"/>
        <v>454</v>
      </c>
      <c r="O4">
        <v>453</v>
      </c>
      <c r="P4">
        <v>0</v>
      </c>
      <c r="T4" t="str">
        <f>HYPERLINK("None", "viewer_url")</f>
        <v>viewer_url</v>
      </c>
      <c r="U4" t="str">
        <f>HYPERLINK("https://images.diginfra.net/iiif/NL-HaNA_1.01.02/3833/NL-HaNA_1.01.02_3833_0227.jpg/2537,1012,901,2360/full/0/default.jpg", "iiif_url")</f>
        <v>iiif_url</v>
      </c>
      <c r="V4" t="s">
        <v>44</v>
      </c>
      <c r="W4" t="s">
        <v>45</v>
      </c>
      <c r="X4" t="str">
        <f>HYPERLINK("https://images.diginfra.net/framed3.html?imagesetuuid=93b95c12-1805-42f5-98c6-c352681b46bb&amp;uri=https://images.diginfra.net/iiif/NL-HaNA_1.01.02/3833/NL-HaNA_1.01.02_3833_0226.jpg", "prev_meeting_viewer_url")</f>
        <v>prev_meeting_viewer_url</v>
      </c>
      <c r="Y4" t="str">
        <f>HYPERLINK("https://images.diginfra.net/iiif/NL-HaNA_1.01.02/3833/NL-HaNA_1.01.02_3833_0226.jpg/2375,530,1106,2898/full/0/default.jpg", "prev_meeting_iiif_url")</f>
        <v>prev_meeting_iiif_url</v>
      </c>
      <c r="Z4" t="s">
        <v>33</v>
      </c>
      <c r="AA4" t="s">
        <v>46</v>
      </c>
      <c r="AB4" t="str">
        <f>HYPERLINK("https://images.diginfra.net/framed3.html?imagesetuuid=93b95c12-1805-42f5-98c6-c352681b46bb&amp;uri=https://images.diginfra.net/iiif/NL-HaNA_1.01.02/3833/NL-HaNA_1.01.02_3833_0228.jpg", "next_meeting_viewer_url")</f>
        <v>next_meeting_viewer_url</v>
      </c>
      <c r="AC4" t="str">
        <f>HYPERLINK("https://images.diginfra.net/iiif/NL-HaNA_1.01.02/3833/NL-HaNA_1.01.02_3833_0228.jpg/2390,327,1104,3166/full/0/default.jpg", "next_meeting_iiif_url")</f>
        <v>next_meeting_iiif_url</v>
      </c>
    </row>
    <row r="5" spans="1:29" x14ac:dyDescent="0.2">
      <c r="A5" t="s">
        <v>47</v>
      </c>
      <c r="B5" t="s">
        <v>48</v>
      </c>
      <c r="C5" t="s">
        <v>49</v>
      </c>
      <c r="D5" t="b">
        <v>1</v>
      </c>
      <c r="E5" t="b">
        <v>1</v>
      </c>
      <c r="F5">
        <v>1</v>
      </c>
      <c r="I5" t="s">
        <v>50</v>
      </c>
      <c r="J5">
        <v>3783</v>
      </c>
      <c r="K5">
        <v>331</v>
      </c>
      <c r="L5">
        <v>3305</v>
      </c>
      <c r="M5">
        <v>1413</v>
      </c>
      <c r="N5">
        <f t="shared" si="0"/>
        <v>662</v>
      </c>
      <c r="O5">
        <v>661</v>
      </c>
      <c r="P5">
        <v>2</v>
      </c>
      <c r="Q5">
        <v>1</v>
      </c>
      <c r="R5">
        <v>0</v>
      </c>
      <c r="S5" t="s">
        <v>33</v>
      </c>
      <c r="T5" t="str">
        <f>HYPERLINK("https://images.diginfra.net/framed3.html?imagesetuuid=67533019-4ca0-4b08-b87e-fd5590e7a077&amp;uri=https://images.diginfra.net/iiif/NL-HaNA_1.01.02/3783/NL-HaNA_1.01.02_3783_0331.jpg", "viewer_url")</f>
        <v>viewer_url</v>
      </c>
      <c r="U5" t="str">
        <f>HYPERLINK("https://images.diginfra.net/iiif/NL-HaNA_1.01.02/3783/NL-HaNA_1.01.02_3783_0331.jpg/3305,1413,1090,2011/full/0/default.jpg", "iiif_url")</f>
        <v>iiif_url</v>
      </c>
      <c r="V5" t="s">
        <v>33</v>
      </c>
      <c r="W5" t="s">
        <v>51</v>
      </c>
      <c r="X5" t="str">
        <f>HYPERLINK("https://images.diginfra.net/framed3.html?imagesetuuid=67533019-4ca0-4b08-b87e-fd5590e7a077&amp;uri=https://images.diginfra.net/iiif/NL-HaNA_1.01.02/3783/NL-HaNA_1.01.02_3783_0331.jpg", "prev_meeting_viewer_url")</f>
        <v>prev_meeting_viewer_url</v>
      </c>
      <c r="Y5" t="str">
        <f>HYPERLINK("https://images.diginfra.net/iiif/NL-HaNA_1.01.02/3783/NL-HaNA_1.01.02_3783_0331.jpg/1122,1187,1116,2230/full/0/default.jpg", "prev_meeting_iiif_url")</f>
        <v>prev_meeting_iiif_url</v>
      </c>
      <c r="Z5" t="s">
        <v>33</v>
      </c>
      <c r="AA5" t="s">
        <v>52</v>
      </c>
      <c r="AB5" t="str">
        <f>HYPERLINK("https://images.diginfra.net/framed3.html?imagesetuuid=67533019-4ca0-4b08-b87e-fd5590e7a077&amp;uri=https://images.diginfra.net/iiif/NL-HaNA_1.01.02/3783/NL-HaNA_1.01.02_3783_0332.jpg", "next_meeting_viewer_url")</f>
        <v>next_meeting_viewer_url</v>
      </c>
      <c r="AC5" t="str">
        <f>HYPERLINK("https://images.diginfra.net/iiif/NL-HaNA_1.01.02/3783/NL-HaNA_1.01.02_3783_0332.jpg/3309,2120,1089,1226/full/0/default.jpg", "next_meeting_iiif_url")</f>
        <v>next_meeting_iiif_url</v>
      </c>
    </row>
    <row r="6" spans="1:29" x14ac:dyDescent="0.2">
      <c r="A6" t="s">
        <v>53</v>
      </c>
      <c r="B6" t="s">
        <v>37</v>
      </c>
      <c r="C6" t="s">
        <v>54</v>
      </c>
      <c r="D6" t="b">
        <v>1</v>
      </c>
      <c r="E6" t="b">
        <v>1</v>
      </c>
      <c r="F6">
        <v>1</v>
      </c>
      <c r="I6" t="s">
        <v>55</v>
      </c>
      <c r="J6">
        <v>3855</v>
      </c>
      <c r="K6">
        <v>10</v>
      </c>
      <c r="L6">
        <v>3323</v>
      </c>
      <c r="M6">
        <v>1258</v>
      </c>
      <c r="N6">
        <f t="shared" si="0"/>
        <v>20</v>
      </c>
      <c r="O6">
        <v>19</v>
      </c>
      <c r="P6">
        <v>1</v>
      </c>
      <c r="Q6">
        <v>1</v>
      </c>
      <c r="R6">
        <v>0</v>
      </c>
      <c r="S6" t="s">
        <v>33</v>
      </c>
      <c r="T6" t="str">
        <f>HYPERLINK("https://images.diginfra.net/framed3.html?imagesetuuid=5244deb9-8f97-4a39-89ba-6da1d308b8f5&amp;uri=https://images.diginfra.net/iiif/NL-HaNA_1.01.02/3855/NL-HaNA_1.01.02_3855_0010.jpg", "viewer_url")</f>
        <v>viewer_url</v>
      </c>
      <c r="U6" t="str">
        <f>HYPERLINK("https://images.diginfra.net/iiif/NL-HaNA_1.01.02/3855/NL-HaNA_1.01.02_3855_0010.jpg/3323,1258,1072,2027/full/0/default.jpg", "iiif_url")</f>
        <v>iiif_url</v>
      </c>
      <c r="V6" t="s">
        <v>33</v>
      </c>
      <c r="W6" t="s">
        <v>56</v>
      </c>
      <c r="X6" t="str">
        <f>HYPERLINK("https://images.diginfra.net/framed3.html?imagesetuuid=5244deb9-8f97-4a39-89ba-6da1d308b8f5&amp;uri=https://images.diginfra.net/iiif/NL-HaNA_1.01.02/3855/NL-HaNA_1.01.02_3855_0008.jpg", "prev_meeting_viewer_url")</f>
        <v>prev_meeting_viewer_url</v>
      </c>
      <c r="Y6" t="str">
        <f>HYPERLINK("https://images.diginfra.net/iiif/NL-HaNA_1.01.02/3855/NL-HaNA_1.01.02_3855_0008.jpg/1287,2307,1025,978/full/0/default.jpg", "prev_meeting_iiif_url")</f>
        <v>prev_meeting_iiif_url</v>
      </c>
      <c r="Z6" t="s">
        <v>33</v>
      </c>
      <c r="AA6" t="s">
        <v>57</v>
      </c>
      <c r="AB6" t="str">
        <f>HYPERLINK("https://images.diginfra.net/framed3.html?imagesetuuid=5244deb9-8f97-4a39-89ba-6da1d308b8f5&amp;uri=https://images.diginfra.net/iiif/NL-HaNA_1.01.02/3855/NL-HaNA_1.01.02_3855_0011.jpg", "next_meeting_viewer_url")</f>
        <v>next_meeting_viewer_url</v>
      </c>
      <c r="AC6" t="str">
        <f>HYPERLINK("https://images.diginfra.net/iiif/NL-HaNA_1.01.02/3855/NL-HaNA_1.01.02_3855_0011.jpg/3315,1739,1064,1602/full/0/default.jpg", "next_meeting_iiif_url")</f>
        <v>next_meeting_iiif_url</v>
      </c>
    </row>
    <row r="7" spans="1:29" x14ac:dyDescent="0.2">
      <c r="A7" t="s">
        <v>58</v>
      </c>
      <c r="B7" t="s">
        <v>59</v>
      </c>
      <c r="D7" t="b">
        <v>0</v>
      </c>
      <c r="E7" t="b">
        <v>0</v>
      </c>
      <c r="F7">
        <v>1</v>
      </c>
      <c r="G7">
        <v>1</v>
      </c>
      <c r="J7">
        <v>3834</v>
      </c>
      <c r="K7">
        <v>298</v>
      </c>
      <c r="N7">
        <f t="shared" si="0"/>
        <v>596</v>
      </c>
      <c r="O7">
        <v>594</v>
      </c>
      <c r="P7">
        <v>1</v>
      </c>
      <c r="T7" t="str">
        <f>HYPERLINK("None", "viewer_url")</f>
        <v>viewer_url</v>
      </c>
      <c r="U7" t="str">
        <f>HYPERLINK("None", "iiif_url")</f>
        <v>iiif_url</v>
      </c>
      <c r="V7" t="s">
        <v>33</v>
      </c>
      <c r="W7" t="s">
        <v>60</v>
      </c>
      <c r="X7" t="str">
        <f>HYPERLINK("https://images.diginfra.net/framed3.html?imagesetuuid=bf11cd8e-e3f4-444c-9caa-dcdfd20137d7&amp;uri=https://images.diginfra.net/iiif/NL-HaNA_1.01.02/3834/NL-HaNA_1.01.02_3834_0296.jpg", "prev_meeting_viewer_url")</f>
        <v>prev_meeting_viewer_url</v>
      </c>
      <c r="Y7" t="str">
        <f>HYPERLINK("https://images.diginfra.net/iiif/NL-HaNA_1.01.02/3834/NL-HaNA_1.01.02_3834_0296.jpg/3334,1105,1127,2230/full/0/default.jpg", "prev_meeting_iiif_url")</f>
        <v>prev_meeting_iiif_url</v>
      </c>
      <c r="Z7" t="s">
        <v>44</v>
      </c>
      <c r="AA7" t="s">
        <v>61</v>
      </c>
      <c r="AB7" t="str">
        <f>HYPERLINK("https://images.diginfra.net/framed3.html?imagesetuuid=bf11cd8e-e3f4-444c-9caa-dcdfd20137d7&amp;uri=https://images.diginfra.net/iiif/NL-HaNA_1.01.02/3834/NL-HaNA_1.01.02_3834_0298.jpg", "next_meeting_viewer_url")</f>
        <v>next_meeting_viewer_url</v>
      </c>
      <c r="AC7" t="str">
        <f>HYPERLINK("https://images.diginfra.net/iiif/NL-HaNA_1.01.02/3834/NL-HaNA_1.01.02_3834_0298.jpg/1198,1376,1094,1957/full/0/default.jpg", "next_meeting_iiif_url")</f>
        <v>next_meeting_iiif_url</v>
      </c>
    </row>
    <row r="8" spans="1:29" x14ac:dyDescent="0.2">
      <c r="A8" t="s">
        <v>62</v>
      </c>
      <c r="B8" t="s">
        <v>63</v>
      </c>
      <c r="D8" t="b">
        <v>0</v>
      </c>
      <c r="E8" t="b">
        <v>0</v>
      </c>
      <c r="F8">
        <v>1</v>
      </c>
      <c r="G8">
        <v>1</v>
      </c>
      <c r="J8">
        <v>3788</v>
      </c>
      <c r="K8">
        <v>440</v>
      </c>
      <c r="N8">
        <f t="shared" si="0"/>
        <v>880</v>
      </c>
      <c r="O8">
        <v>878</v>
      </c>
      <c r="P8">
        <v>0</v>
      </c>
      <c r="T8" t="str">
        <f>HYPERLINK("None", "viewer_url")</f>
        <v>viewer_url</v>
      </c>
      <c r="U8" t="str">
        <f>HYPERLINK("None", "iiif_url")</f>
        <v>iiif_url</v>
      </c>
      <c r="Z8" t="s">
        <v>33</v>
      </c>
      <c r="AA8" t="s">
        <v>64</v>
      </c>
      <c r="AB8" t="str">
        <f>HYPERLINK("https://images.diginfra.net/framed3.html?imagesetuuid=0c8f3037-13b3-45f2-b332-cb8940ab7c42&amp;uri=https://images.diginfra.net/iiif/NL-HaNA_1.01.02/3788/NL-HaNA_1.01.02_3788_0440.jpg", "next_meeting_viewer_url")</f>
        <v>next_meeting_viewer_url</v>
      </c>
      <c r="AC8" t="str">
        <f>HYPERLINK("https://images.diginfra.net/iiif/NL-HaNA_1.01.02/3788/NL-HaNA_1.01.02_3788_0440.jpg/188,764,1123,2598/full/0/default.jpg", "next_meeting_iiif_url")</f>
        <v>next_meeting_iiif_url</v>
      </c>
    </row>
    <row r="9" spans="1:29" x14ac:dyDescent="0.2">
      <c r="A9" t="s">
        <v>65</v>
      </c>
      <c r="B9" t="s">
        <v>30</v>
      </c>
      <c r="C9" t="s">
        <v>66</v>
      </c>
      <c r="D9" t="b">
        <v>1</v>
      </c>
      <c r="E9" t="b">
        <v>1</v>
      </c>
      <c r="F9">
        <v>1</v>
      </c>
      <c r="I9" t="s">
        <v>67</v>
      </c>
      <c r="J9">
        <v>3824</v>
      </c>
      <c r="K9">
        <v>521</v>
      </c>
      <c r="L9">
        <v>3311</v>
      </c>
      <c r="M9">
        <v>786</v>
      </c>
      <c r="N9">
        <f t="shared" si="0"/>
        <v>1042</v>
      </c>
      <c r="O9">
        <v>1041</v>
      </c>
      <c r="P9">
        <v>1</v>
      </c>
      <c r="Q9">
        <v>0</v>
      </c>
      <c r="R9">
        <v>14</v>
      </c>
      <c r="S9" t="s">
        <v>33</v>
      </c>
      <c r="T9" t="str">
        <f>HYPERLINK("https://images.diginfra.net/framed3.html?imagesetuuid=dd191040-86df-4eff-a597-814a829dbed3&amp;uri=https://images.diginfra.net/iiif/NL-HaNA_1.01.02/3824/NL-HaNA_1.01.02_3824_0521.jpg", "viewer_url")</f>
        <v>viewer_url</v>
      </c>
      <c r="U9" t="str">
        <f>HYPERLINK("https://images.diginfra.net/iiif/NL-HaNA_1.01.02/3824/NL-HaNA_1.01.02_3824_0521.jpg/3311,786,1090,2546/full/0/default.jpg", "iiif_url")</f>
        <v>iiif_url</v>
      </c>
      <c r="V9" t="s">
        <v>33</v>
      </c>
      <c r="W9" t="s">
        <v>68</v>
      </c>
      <c r="X9" t="str">
        <f>HYPERLINK("https://images.diginfra.net/framed3.html?imagesetuuid=dd191040-86df-4eff-a597-814a829dbed3&amp;uri=https://images.diginfra.net/iiif/NL-HaNA_1.01.02/3824/NL-HaNA_1.01.02_3824_0520.jpg", "prev_meeting_viewer_url")</f>
        <v>prev_meeting_viewer_url</v>
      </c>
      <c r="Y9" t="str">
        <f>HYPERLINK("https://images.diginfra.net/iiif/NL-HaNA_1.01.02/3824/NL-HaNA_1.01.02_3824_0520.jpg/3332,2274,1103,1080/full/0/default.jpg", "prev_meeting_iiif_url")</f>
        <v>prev_meeting_iiif_url</v>
      </c>
      <c r="Z9" t="s">
        <v>33</v>
      </c>
      <c r="AA9" t="s">
        <v>69</v>
      </c>
      <c r="AB9" t="str">
        <f>HYPERLINK("https://images.diginfra.net/framed3.html?imagesetuuid=dd191040-86df-4eff-a597-814a829dbed3&amp;uri=https://images.diginfra.net/iiif/NL-HaNA_1.01.02/3824/NL-HaNA_1.01.02_3824_0523.jpg", "next_meeting_viewer_url")</f>
        <v>next_meeting_viewer_url</v>
      </c>
      <c r="AC9" t="str">
        <f>HYPERLINK("https://images.diginfra.net/iiif/NL-HaNA_1.01.02/3824/NL-HaNA_1.01.02_3824_0523.jpg/2379,2006,1075,1332/full/0/default.jpg", "next_meeting_iiif_url")</f>
        <v>next_meeting_iiif_url</v>
      </c>
    </row>
    <row r="10" spans="1:29" x14ac:dyDescent="0.2">
      <c r="A10" t="s">
        <v>70</v>
      </c>
      <c r="B10" t="s">
        <v>63</v>
      </c>
      <c r="D10" t="b">
        <v>0</v>
      </c>
      <c r="E10" t="b">
        <v>0</v>
      </c>
      <c r="F10">
        <v>1</v>
      </c>
      <c r="G10">
        <v>0</v>
      </c>
      <c r="H10" t="s">
        <v>71</v>
      </c>
      <c r="J10">
        <v>3785</v>
      </c>
      <c r="K10">
        <v>450</v>
      </c>
      <c r="N10">
        <f t="shared" si="0"/>
        <v>900</v>
      </c>
      <c r="O10">
        <v>898</v>
      </c>
      <c r="P10">
        <v>1</v>
      </c>
      <c r="T10" t="str">
        <f>HYPERLINK("None", "viewer_url")</f>
        <v>viewer_url</v>
      </c>
      <c r="U10" t="str">
        <f>HYPERLINK("None", "iiif_url")</f>
        <v>iiif_url</v>
      </c>
      <c r="V10" t="s">
        <v>33</v>
      </c>
      <c r="W10" t="s">
        <v>72</v>
      </c>
      <c r="X10" t="str">
        <f>HYPERLINK("https://images.diginfra.net/framed3.html?imagesetuuid=88a314f7-936a-49fb-9ac3-0115764531f2&amp;uri=https://images.diginfra.net/iiif/NL-HaNA_1.01.02/3785/NL-HaNA_1.01.02_3785_0449.jpg", "prev_meeting_viewer_url")</f>
        <v>prev_meeting_viewer_url</v>
      </c>
      <c r="Y10" t="str">
        <f>HYPERLINK("https://images.diginfra.net/iiif/NL-HaNA_1.01.02/3785/NL-HaNA_1.01.02_3785_0449.jpg/1127,794,1106,2670/full/0/default.jpg", "prev_meeting_iiif_url")</f>
        <v>prev_meeting_iiif_url</v>
      </c>
    </row>
    <row r="11" spans="1:29" x14ac:dyDescent="0.2">
      <c r="A11" t="s">
        <v>73</v>
      </c>
      <c r="B11" t="s">
        <v>37</v>
      </c>
      <c r="C11" t="s">
        <v>74</v>
      </c>
      <c r="D11" t="b">
        <v>1</v>
      </c>
      <c r="E11" t="b">
        <v>1</v>
      </c>
      <c r="F11">
        <v>1</v>
      </c>
      <c r="I11" t="s">
        <v>75</v>
      </c>
      <c r="J11">
        <v>3786</v>
      </c>
      <c r="K11">
        <v>355</v>
      </c>
      <c r="L11">
        <v>1260</v>
      </c>
      <c r="M11">
        <v>2663</v>
      </c>
      <c r="N11">
        <f t="shared" si="0"/>
        <v>710</v>
      </c>
      <c r="O11">
        <v>708</v>
      </c>
      <c r="P11">
        <v>1</v>
      </c>
      <c r="Q11">
        <v>1</v>
      </c>
      <c r="R11">
        <v>0</v>
      </c>
      <c r="S11" t="s">
        <v>33</v>
      </c>
      <c r="T11" t="str">
        <f>HYPERLINK("https://images.diginfra.net/framed3.html?imagesetuuid=508661ee-474e-44be-a74a-8aac34348aeb&amp;uri=https://images.diginfra.net/iiif/NL-HaNA_1.01.02/3786/NL-HaNA_1.01.02_3786_0355.jpg", "viewer_url")</f>
        <v>viewer_url</v>
      </c>
      <c r="U11" t="str">
        <f>HYPERLINK("https://images.diginfra.net/iiif/NL-HaNA_1.01.02/3786/NL-HaNA_1.01.02_3786_0355.jpg/1260,2663,1040,686/full/0/default.jpg", "iiif_url")</f>
        <v>iiif_url</v>
      </c>
      <c r="V11" t="s">
        <v>33</v>
      </c>
      <c r="W11" t="s">
        <v>76</v>
      </c>
      <c r="X11" t="str">
        <f>HYPERLINK("https://images.diginfra.net/framed3.html?imagesetuuid=508661ee-474e-44be-a74a-8aac34348aeb&amp;uri=https://images.diginfra.net/iiif/NL-HaNA_1.01.02/3786/NL-HaNA_1.01.02_3786_0352.jpg", "prev_meeting_viewer_url")</f>
        <v>prev_meeting_viewer_url</v>
      </c>
      <c r="Y11" t="str">
        <f>HYPERLINK("https://images.diginfra.net/iiif/NL-HaNA_1.01.02/3786/NL-HaNA_1.01.02_3786_0352.jpg/253,1692,1079,1756/full/0/default.jpg", "prev_meeting_iiif_url")</f>
        <v>prev_meeting_iiif_url</v>
      </c>
      <c r="Z11" t="s">
        <v>33</v>
      </c>
      <c r="AA11" t="s">
        <v>77</v>
      </c>
      <c r="AB11" t="str">
        <f>HYPERLINK("https://images.diginfra.net/framed3.html?imagesetuuid=508661ee-474e-44be-a74a-8aac34348aeb&amp;uri=https://images.diginfra.net/iiif/NL-HaNA_1.01.02/3786/NL-HaNA_1.01.02_3786_0356.jpg", "next_meeting_viewer_url")</f>
        <v>next_meeting_viewer_url</v>
      </c>
      <c r="AC11" t="str">
        <f>HYPERLINK("https://images.diginfra.net/iiif/NL-HaNA_1.01.02/3786/NL-HaNA_1.01.02_3786_0356.jpg/1181,2124,1098,1168/full/0/default.jpg", "next_meeting_iiif_url")</f>
        <v>next_meeting_iiif_url</v>
      </c>
    </row>
    <row r="12" spans="1:29" x14ac:dyDescent="0.2">
      <c r="A12" t="s">
        <v>78</v>
      </c>
      <c r="B12" t="s">
        <v>79</v>
      </c>
      <c r="C12" t="s">
        <v>80</v>
      </c>
      <c r="D12" t="b">
        <v>1</v>
      </c>
      <c r="E12" t="b">
        <v>1</v>
      </c>
      <c r="F12">
        <v>1</v>
      </c>
      <c r="I12" t="s">
        <v>81</v>
      </c>
      <c r="J12">
        <v>3803</v>
      </c>
      <c r="K12">
        <v>268</v>
      </c>
      <c r="L12">
        <v>1195</v>
      </c>
      <c r="M12">
        <v>1392</v>
      </c>
      <c r="N12">
        <f t="shared" si="0"/>
        <v>536</v>
      </c>
      <c r="O12">
        <v>534</v>
      </c>
      <c r="P12">
        <v>1</v>
      </c>
      <c r="Q12">
        <v>2</v>
      </c>
      <c r="R12">
        <v>2</v>
      </c>
      <c r="S12" t="s">
        <v>33</v>
      </c>
      <c r="T12" t="str">
        <f>HYPERLINK("https://images.diginfra.net/framed3.html?imagesetuuid=38df7783-1913-47c1-b96e-bdb08c6574dc&amp;uri=https://images.diginfra.net/iiif/NL-HaNA_1.01.02/3803/NL-HaNA_1.01.02_3803_0268.jpg", "viewer_url")</f>
        <v>viewer_url</v>
      </c>
      <c r="U12" t="str">
        <f>HYPERLINK("https://images.diginfra.net/iiif/NL-HaNA_1.01.02/3803/NL-HaNA_1.01.02_3803_0268.jpg/1195,1392,1133,2063/full/0/default.jpg", "iiif_url")</f>
        <v>iiif_url</v>
      </c>
      <c r="V12" t="s">
        <v>33</v>
      </c>
      <c r="W12" t="s">
        <v>82</v>
      </c>
      <c r="X12" t="str">
        <f>HYPERLINK("https://images.diginfra.net/framed3.html?imagesetuuid=38df7783-1913-47c1-b96e-bdb08c6574dc&amp;uri=https://images.diginfra.net/iiif/NL-HaNA_1.01.02/3803/NL-HaNA_1.01.02_3803_0266.jpg", "prev_meeting_viewer_url")</f>
        <v>prev_meeting_viewer_url</v>
      </c>
      <c r="Y12" t="str">
        <f>HYPERLINK("https://images.diginfra.net/iiif/NL-HaNA_1.01.02/3803/NL-HaNA_1.01.02_3803_0266.jpg/1214,1550,1103,1846/full/0/default.jpg", "prev_meeting_iiif_url")</f>
        <v>prev_meeting_iiif_url</v>
      </c>
      <c r="Z12" t="s">
        <v>33</v>
      </c>
      <c r="AA12" t="s">
        <v>83</v>
      </c>
      <c r="AB12" t="str">
        <f>HYPERLINK("https://images.diginfra.net/framed3.html?imagesetuuid=38df7783-1913-47c1-b96e-bdb08c6574dc&amp;uri=https://images.diginfra.net/iiif/NL-HaNA_1.01.02/3803/NL-HaNA_1.01.02_3803_0270.jpg", "next_meeting_viewer_url")</f>
        <v>next_meeting_viewer_url</v>
      </c>
      <c r="AC12" t="str">
        <f>HYPERLINK("https://images.diginfra.net/iiif/NL-HaNA_1.01.02/3803/NL-HaNA_1.01.02_3803_0270.jpg/1246,1231,1114,2196/full/0/default.jpg", "next_meeting_iiif_url")</f>
        <v>next_meeting_iiif_url</v>
      </c>
    </row>
    <row r="13" spans="1:29" x14ac:dyDescent="0.2">
      <c r="A13" t="s">
        <v>84</v>
      </c>
      <c r="B13" t="s">
        <v>85</v>
      </c>
      <c r="C13" t="s">
        <v>86</v>
      </c>
      <c r="D13" t="b">
        <v>1</v>
      </c>
      <c r="E13" t="b">
        <v>1</v>
      </c>
      <c r="F13">
        <v>1</v>
      </c>
      <c r="I13" t="s">
        <v>87</v>
      </c>
      <c r="J13">
        <v>3825</v>
      </c>
      <c r="K13">
        <v>421</v>
      </c>
      <c r="L13">
        <v>3353</v>
      </c>
      <c r="M13">
        <v>1373</v>
      </c>
      <c r="N13">
        <f t="shared" si="0"/>
        <v>842</v>
      </c>
      <c r="O13">
        <v>841</v>
      </c>
      <c r="P13">
        <v>1</v>
      </c>
      <c r="Q13">
        <v>1</v>
      </c>
      <c r="R13">
        <v>0</v>
      </c>
      <c r="S13" t="s">
        <v>33</v>
      </c>
      <c r="T13" t="str">
        <f>HYPERLINK("https://images.diginfra.net/framed3.html?imagesetuuid=3e55157c-ed48-4a0c-b4a9-bb205866d7cd&amp;uri=https://images.diginfra.net/iiif/NL-HaNA_1.01.02/3825/NL-HaNA_1.01.02_3825_0421.jpg", "viewer_url")</f>
        <v>viewer_url</v>
      </c>
      <c r="U13" t="str">
        <f>HYPERLINK("https://images.diginfra.net/iiif/NL-HaNA_1.01.02/3825/NL-HaNA_1.01.02_3825_0421.jpg/3353,1373,1084,1910/full/0/default.jpg", "iiif_url")</f>
        <v>iiif_url</v>
      </c>
      <c r="V13" t="s">
        <v>33</v>
      </c>
      <c r="W13" t="s">
        <v>88</v>
      </c>
      <c r="X13" t="str">
        <f>HYPERLINK("https://images.diginfra.net/framed3.html?imagesetuuid=3e55157c-ed48-4a0c-b4a9-bb205866d7cd&amp;uri=https://images.diginfra.net/iiif/NL-HaNA_1.01.02/3825/NL-HaNA_1.01.02_3825_0421.jpg", "prev_meeting_viewer_url")</f>
        <v>prev_meeting_viewer_url</v>
      </c>
      <c r="Y13" t="str">
        <f>HYPERLINK("https://images.diginfra.net/iiif/NL-HaNA_1.01.02/3825/NL-HaNA_1.01.02_3825_0421.jpg/1297,2347,1012,913/full/0/default.jpg", "prev_meeting_iiif_url")</f>
        <v>prev_meeting_iiif_url</v>
      </c>
      <c r="Z13" t="s">
        <v>33</v>
      </c>
      <c r="AA13" t="s">
        <v>89</v>
      </c>
      <c r="AB13" t="str">
        <f>HYPERLINK("https://images.diginfra.net/framed3.html?imagesetuuid=3e55157c-ed48-4a0c-b4a9-bb205866d7cd&amp;uri=https://images.diginfra.net/iiif/NL-HaNA_1.01.02/3825/NL-HaNA_1.01.02_3825_0422.jpg", "next_meeting_viewer_url")</f>
        <v>next_meeting_viewer_url</v>
      </c>
      <c r="AC13" t="str">
        <f>HYPERLINK("https://images.diginfra.net/iiif/NL-HaNA_1.01.02/3825/NL-HaNA_1.01.02_3825_0422.jpg/316,2196,1028,1008/full/0/default.jpg", "next_meeting_iiif_url")</f>
        <v>next_meeting_iiif_url</v>
      </c>
    </row>
    <row r="14" spans="1:29" x14ac:dyDescent="0.2">
      <c r="A14" t="s">
        <v>90</v>
      </c>
      <c r="B14" t="s">
        <v>79</v>
      </c>
      <c r="C14" t="s">
        <v>91</v>
      </c>
      <c r="D14" t="b">
        <v>1</v>
      </c>
      <c r="E14" t="b">
        <v>1</v>
      </c>
      <c r="F14">
        <v>1</v>
      </c>
      <c r="I14" t="s">
        <v>92</v>
      </c>
      <c r="J14">
        <v>3835</v>
      </c>
      <c r="K14">
        <v>385</v>
      </c>
      <c r="L14">
        <v>3313</v>
      </c>
      <c r="M14">
        <v>2327</v>
      </c>
      <c r="N14">
        <f t="shared" si="0"/>
        <v>770</v>
      </c>
      <c r="O14">
        <v>769</v>
      </c>
      <c r="P14">
        <v>1</v>
      </c>
      <c r="Q14">
        <v>1</v>
      </c>
      <c r="R14">
        <v>0</v>
      </c>
      <c r="S14" t="s">
        <v>33</v>
      </c>
      <c r="T14" t="str">
        <f>HYPERLINK("https://images.diginfra.net/framed3.html?imagesetuuid=473594ee-2ab0-4fbf-9da7-0e9d12acef41&amp;uri=https://images.diginfra.net/iiif/NL-HaNA_1.01.02/3835/NL-HaNA_1.01.02_3835_0385.jpg", "viewer_url")</f>
        <v>viewer_url</v>
      </c>
      <c r="U14" t="str">
        <f>HYPERLINK("https://images.diginfra.net/iiif/NL-HaNA_1.01.02/3835/NL-HaNA_1.01.02_3835_0385.jpg/3313,2327,1034,1082/full/0/default.jpg", "iiif_url")</f>
        <v>iiif_url</v>
      </c>
      <c r="V14" t="s">
        <v>33</v>
      </c>
      <c r="X14" t="str">
        <f>HYPERLINK("https://images.diginfra.net/framed3.html?imagesetuuid=473594ee-2ab0-4fbf-9da7-0e9d12acef41&amp;uri=https://images.diginfra.net/iiif/NL-HaNA_1.01.02/3835/NL-HaNA_1.01.02_3835_0384.jpg", "prev_meeting_viewer_url")</f>
        <v>prev_meeting_viewer_url</v>
      </c>
      <c r="Y14" t="str">
        <f>HYPERLINK("https://images.diginfra.net/iiif/NL-HaNA_1.01.02/3835/NL-HaNA_1.01.02_3835_0384.jpg/2367,3100,311,258/full/0/default.jpg", "prev_meeting_iiif_url")</f>
        <v>prev_meeting_iiif_url</v>
      </c>
      <c r="Z14" t="s">
        <v>33</v>
      </c>
      <c r="AA14" t="s">
        <v>93</v>
      </c>
      <c r="AB14" t="str">
        <f>HYPERLINK("https://images.diginfra.net/framed3.html?imagesetuuid=473594ee-2ab0-4fbf-9da7-0e9d12acef41&amp;uri=https://images.diginfra.net/iiif/NL-HaNA_1.01.02/3835/NL-HaNA_1.01.02_3835_0387.jpg", "next_meeting_viewer_url")</f>
        <v>next_meeting_viewer_url</v>
      </c>
      <c r="AC14" t="str">
        <f>HYPERLINK("https://images.diginfra.net/iiif/NL-HaNA_1.01.02/3835/NL-HaNA_1.01.02_3835_0387.jpg/1241,1775,1084,1655/full/0/default.jpg", "next_meeting_iiif_url")</f>
        <v>next_meeting_iiif_url</v>
      </c>
    </row>
    <row r="15" spans="1:29" x14ac:dyDescent="0.2">
      <c r="A15" t="s">
        <v>94</v>
      </c>
      <c r="B15" t="s">
        <v>85</v>
      </c>
      <c r="C15" t="s">
        <v>95</v>
      </c>
      <c r="D15" t="b">
        <v>1</v>
      </c>
      <c r="E15" t="b">
        <v>1</v>
      </c>
      <c r="F15">
        <v>1</v>
      </c>
      <c r="I15" t="s">
        <v>96</v>
      </c>
      <c r="J15">
        <v>3854</v>
      </c>
      <c r="K15">
        <v>194</v>
      </c>
      <c r="L15">
        <v>3383</v>
      </c>
      <c r="M15">
        <v>570</v>
      </c>
      <c r="N15">
        <f t="shared" si="0"/>
        <v>388</v>
      </c>
      <c r="O15">
        <v>387</v>
      </c>
      <c r="P15">
        <v>1</v>
      </c>
      <c r="Q15">
        <v>1</v>
      </c>
      <c r="R15">
        <v>0</v>
      </c>
      <c r="S15" t="s">
        <v>33</v>
      </c>
      <c r="T15" t="str">
        <f>HYPERLINK("https://images.diginfra.net/framed3.html?imagesetuuid=f18f1f43-56cc-43ad-847f-eb4be3207bcc&amp;uri=https://images.diginfra.net/iiif/NL-HaNA_1.01.02/3854/NL-HaNA_1.01.02_3854_0194.jpg", "viewer_url")</f>
        <v>viewer_url</v>
      </c>
      <c r="U15" t="str">
        <f>HYPERLINK("https://images.diginfra.net/iiif/NL-HaNA_1.01.02/3854/NL-HaNA_1.01.02_3854_0194.jpg/3383,570,1086,2829/full/0/default.jpg", "iiif_url")</f>
        <v>iiif_url</v>
      </c>
      <c r="V15" t="s">
        <v>33</v>
      </c>
      <c r="W15" t="s">
        <v>97</v>
      </c>
      <c r="X15" t="str">
        <f>HYPERLINK("https://images.diginfra.net/framed3.html?imagesetuuid=f18f1f43-56cc-43ad-847f-eb4be3207bcc&amp;uri=https://images.diginfra.net/iiif/NL-HaNA_1.01.02/3854/NL-HaNA_1.01.02_3854_0192.jpg", "prev_meeting_viewer_url")</f>
        <v>prev_meeting_viewer_url</v>
      </c>
      <c r="Y15" t="str">
        <f>HYPERLINK("https://images.diginfra.net/iiif/NL-HaNA_1.01.02/3854/NL-HaNA_1.01.02_3854_0192.jpg/334,518,1102,2900/full/0/default.jpg", "prev_meeting_iiif_url")</f>
        <v>prev_meeting_iiif_url</v>
      </c>
      <c r="Z15" t="s">
        <v>33</v>
      </c>
      <c r="AA15" t="s">
        <v>98</v>
      </c>
      <c r="AB15" t="str">
        <f>HYPERLINK("https://images.diginfra.net/framed3.html?imagesetuuid=f18f1f43-56cc-43ad-847f-eb4be3207bcc&amp;uri=https://images.diginfra.net/iiif/NL-HaNA_1.01.02/3854/NL-HaNA_1.01.02_3854_0196.jpg", "next_meeting_viewer_url")</f>
        <v>next_meeting_viewer_url</v>
      </c>
      <c r="AC15" t="str">
        <f>HYPERLINK("https://images.diginfra.net/iiif/NL-HaNA_1.01.02/3854/NL-HaNA_1.01.02_3854_0196.jpg/348,2076,1075,1375/full/0/default.jpg", "next_meeting_iiif_url")</f>
        <v>next_meeting_iiif_url</v>
      </c>
    </row>
    <row r="16" spans="1:29" x14ac:dyDescent="0.2">
      <c r="A16" t="s">
        <v>99</v>
      </c>
      <c r="B16" t="s">
        <v>85</v>
      </c>
      <c r="C16" t="s">
        <v>100</v>
      </c>
      <c r="D16" t="b">
        <v>1</v>
      </c>
      <c r="E16" t="b">
        <v>1</v>
      </c>
      <c r="F16">
        <v>1</v>
      </c>
      <c r="I16" t="s">
        <v>101</v>
      </c>
      <c r="J16">
        <v>3786</v>
      </c>
      <c r="K16">
        <v>80</v>
      </c>
      <c r="L16">
        <v>3307</v>
      </c>
      <c r="M16">
        <v>1070</v>
      </c>
      <c r="N16">
        <f t="shared" si="0"/>
        <v>160</v>
      </c>
      <c r="O16">
        <v>159</v>
      </c>
      <c r="P16">
        <v>1</v>
      </c>
      <c r="Q16">
        <v>1</v>
      </c>
      <c r="R16">
        <v>0</v>
      </c>
      <c r="S16" t="s">
        <v>33</v>
      </c>
      <c r="T16" t="str">
        <f>HYPERLINK("https://images.diginfra.net/framed3.html?imagesetuuid=508661ee-474e-44be-a74a-8aac34348aeb&amp;uri=https://images.diginfra.net/iiif/NL-HaNA_1.01.02/3786/NL-HaNA_1.01.02_3786_0080.jpg", "viewer_url")</f>
        <v>viewer_url</v>
      </c>
      <c r="U16" t="str">
        <f>HYPERLINK("https://images.diginfra.net/iiif/NL-HaNA_1.01.02/3786/NL-HaNA_1.01.02_3786_0080.jpg/3307,1070,1108,2381/full/0/default.jpg", "iiif_url")</f>
        <v>iiif_url</v>
      </c>
      <c r="V16" t="s">
        <v>33</v>
      </c>
      <c r="W16" t="s">
        <v>102</v>
      </c>
      <c r="X16" t="str">
        <f>HYPERLINK("https://images.diginfra.net/framed3.html?imagesetuuid=508661ee-474e-44be-a74a-8aac34348aeb&amp;uri=https://images.diginfra.net/iiif/NL-HaNA_1.01.02/3786/NL-HaNA_1.01.02_3786_0080.jpg", "prev_meeting_viewer_url")</f>
        <v>prev_meeting_viewer_url</v>
      </c>
      <c r="Y16" t="str">
        <f>HYPERLINK("https://images.diginfra.net/iiif/NL-HaNA_1.01.02/3786/NL-HaNA_1.01.02_3786_0080.jpg/265,1228,1125,2232/full/0/default.jpg", "prev_meeting_iiif_url")</f>
        <v>prev_meeting_iiif_url</v>
      </c>
      <c r="Z16" t="s">
        <v>33</v>
      </c>
      <c r="AA16" t="s">
        <v>103</v>
      </c>
      <c r="AB16" t="str">
        <f>HYPERLINK("https://images.diginfra.net/framed3.html?imagesetuuid=508661ee-474e-44be-a74a-8aac34348aeb&amp;uri=https://images.diginfra.net/iiif/NL-HaNA_1.01.02/3786/NL-HaNA_1.01.02_3786_0081.jpg", "next_meeting_viewer_url")</f>
        <v>next_meeting_viewer_url</v>
      </c>
      <c r="AC16" t="str">
        <f>HYPERLINK("https://images.diginfra.net/iiif/NL-HaNA_1.01.02/3786/NL-HaNA_1.01.02_3786_0081.jpg/3316,1181,1095,2299/full/0/default.jpg", "next_meeting_iiif_url")</f>
        <v>next_meeting_iiif_url</v>
      </c>
    </row>
    <row r="17" spans="1:29" x14ac:dyDescent="0.2">
      <c r="A17" t="s">
        <v>104</v>
      </c>
      <c r="B17" t="s">
        <v>37</v>
      </c>
      <c r="C17" t="s">
        <v>105</v>
      </c>
      <c r="D17" t="b">
        <v>1</v>
      </c>
      <c r="E17" t="b">
        <v>1</v>
      </c>
      <c r="F17">
        <v>1</v>
      </c>
      <c r="I17" t="s">
        <v>106</v>
      </c>
      <c r="J17">
        <v>3822</v>
      </c>
      <c r="K17">
        <v>219</v>
      </c>
      <c r="L17">
        <v>2308</v>
      </c>
      <c r="M17">
        <v>851</v>
      </c>
      <c r="N17">
        <f t="shared" si="0"/>
        <v>438</v>
      </c>
      <c r="O17">
        <v>437</v>
      </c>
      <c r="P17">
        <v>0</v>
      </c>
      <c r="Q17">
        <v>0</v>
      </c>
      <c r="R17">
        <v>14</v>
      </c>
      <c r="S17" t="s">
        <v>33</v>
      </c>
      <c r="T17" t="str">
        <f>HYPERLINK("https://images.diginfra.net/framed3.html?imagesetuuid=e0965315-891d-46c1-9dac-fc6b729921cf&amp;uri=https://images.diginfra.net/iiif/NL-HaNA_1.01.02/3822/NL-HaNA_1.01.02_3822_0219.jpg", "viewer_url")</f>
        <v>viewer_url</v>
      </c>
      <c r="U17" t="str">
        <f>HYPERLINK("https://images.diginfra.net/iiif/NL-HaNA_1.01.02/3822/NL-HaNA_1.01.02_3822_0219.jpg/2308,851,1082,2450/full/0/default.jpg", "iiif_url")</f>
        <v>iiif_url</v>
      </c>
      <c r="V17" t="s">
        <v>33</v>
      </c>
      <c r="W17" t="s">
        <v>107</v>
      </c>
      <c r="X17" t="str">
        <f>HYPERLINK("https://images.diginfra.net/framed3.html?imagesetuuid=e0965315-891d-46c1-9dac-fc6b729921cf&amp;uri=https://images.diginfra.net/iiif/NL-HaNA_1.01.02/3822/NL-HaNA_1.01.02_3822_0218.jpg", "prev_meeting_viewer_url")</f>
        <v>prev_meeting_viewer_url</v>
      </c>
      <c r="Y17" t="str">
        <f>HYPERLINK("https://images.diginfra.net/iiif/NL-HaNA_1.01.02/3822/NL-HaNA_1.01.02_3822_0218.jpg/1232,2748,1026,608/full/0/default.jpg", "prev_meeting_iiif_url")</f>
        <v>prev_meeting_iiif_url</v>
      </c>
      <c r="Z17" t="s">
        <v>33</v>
      </c>
      <c r="AA17" t="s">
        <v>108</v>
      </c>
      <c r="AB17" t="str">
        <f>HYPERLINK("https://images.diginfra.net/framed3.html?imagesetuuid=e0965315-891d-46c1-9dac-fc6b729921cf&amp;uri=https://images.diginfra.net/iiif/NL-HaNA_1.01.02/3822/NL-HaNA_1.01.02_3822_0223.jpg", "next_meeting_viewer_url")</f>
        <v>next_meeting_viewer_url</v>
      </c>
      <c r="AC17" t="str">
        <f>HYPERLINK("https://images.diginfra.net/iiif/NL-HaNA_1.01.02/3822/NL-HaNA_1.01.02_3822_0223.jpg/3317,2461,1057,847/full/0/default.jpg", "next_meeting_iiif_url")</f>
        <v>next_meeting_iiif_url</v>
      </c>
    </row>
    <row r="18" spans="1:29" x14ac:dyDescent="0.2">
      <c r="A18" t="s">
        <v>109</v>
      </c>
      <c r="B18" t="s">
        <v>37</v>
      </c>
      <c r="C18" t="s">
        <v>110</v>
      </c>
      <c r="D18" t="b">
        <v>1</v>
      </c>
      <c r="E18" t="b">
        <v>1</v>
      </c>
      <c r="F18">
        <v>1</v>
      </c>
      <c r="I18" t="s">
        <v>111</v>
      </c>
      <c r="J18">
        <v>3772</v>
      </c>
      <c r="K18">
        <v>396</v>
      </c>
      <c r="L18">
        <v>3341</v>
      </c>
      <c r="M18">
        <v>276</v>
      </c>
      <c r="N18">
        <f t="shared" si="0"/>
        <v>792</v>
      </c>
      <c r="O18">
        <v>791</v>
      </c>
      <c r="P18">
        <v>1</v>
      </c>
      <c r="Q18">
        <v>0</v>
      </c>
      <c r="R18">
        <v>0</v>
      </c>
      <c r="S18" t="s">
        <v>33</v>
      </c>
      <c r="T18" t="str">
        <f>HYPERLINK("https://images.diginfra.net/framed3.html?imagesetuuid=7816564e-398d-48a2-b251-a02a50cc0b59&amp;uri=https://images.diginfra.net/iiif/NL-HaNA_1.01.02/3772/NL-HaNA_1.01.02_3772_0396.jpg", "viewer_url")</f>
        <v>viewer_url</v>
      </c>
      <c r="U18" t="str">
        <f>HYPERLINK("https://images.diginfra.net/iiif/NL-HaNA_1.01.02/3772/NL-HaNA_1.01.02_3772_0396.jpg/3341,276,1099,3097/full/0/default.jpg", "iiif_url")</f>
        <v>iiif_url</v>
      </c>
      <c r="V18" t="s">
        <v>33</v>
      </c>
      <c r="W18" t="s">
        <v>112</v>
      </c>
      <c r="X18" t="str">
        <f>HYPERLINK("https://images.diginfra.net/framed3.html?imagesetuuid=7816564e-398d-48a2-b251-a02a50cc0b59&amp;uri=https://images.diginfra.net/iiif/NL-HaNA_1.01.02/3772/NL-HaNA_1.01.02_3772_0395.jpg", "prev_meeting_viewer_url")</f>
        <v>prev_meeting_viewer_url</v>
      </c>
      <c r="Y18" t="str">
        <f>HYPERLINK("https://images.diginfra.net/iiif/NL-HaNA_1.01.02/3772/NL-HaNA_1.01.02_3772_0395.jpg/3323,1090,1095,2307/full/0/default.jpg", "prev_meeting_iiif_url")</f>
        <v>prev_meeting_iiif_url</v>
      </c>
      <c r="Z18" t="s">
        <v>44</v>
      </c>
      <c r="AA18" t="s">
        <v>113</v>
      </c>
      <c r="AB18" t="str">
        <f>HYPERLINK("https://images.diginfra.net/framed3.html?imagesetuuid=7816564e-398d-48a2-b251-a02a50cc0b59&amp;uri=https://images.diginfra.net/iiif/NL-HaNA_1.01.02/3772/NL-HaNA_1.01.02_3772_0397.jpg", "next_meeting_viewer_url")</f>
        <v>next_meeting_viewer_url</v>
      </c>
      <c r="AC18" t="str">
        <f>HYPERLINK("https://images.diginfra.net/iiif/NL-HaNA_1.01.02/3772/NL-HaNA_1.01.02_3772_0397.jpg/1165,2150,1088,1123/full/0/default.jpg", "next_meeting_iiif_url")</f>
        <v>next_meeting_iiif_url</v>
      </c>
    </row>
    <row r="19" spans="1:29" x14ac:dyDescent="0.2">
      <c r="A19" t="s">
        <v>114</v>
      </c>
      <c r="B19" t="s">
        <v>85</v>
      </c>
      <c r="C19" t="s">
        <v>115</v>
      </c>
      <c r="D19" t="b">
        <v>1</v>
      </c>
      <c r="E19" t="b">
        <v>1</v>
      </c>
      <c r="F19">
        <v>1</v>
      </c>
      <c r="I19" t="s">
        <v>116</v>
      </c>
      <c r="J19">
        <v>3805</v>
      </c>
      <c r="K19">
        <v>406</v>
      </c>
      <c r="L19">
        <v>287</v>
      </c>
      <c r="M19">
        <v>1109</v>
      </c>
      <c r="N19">
        <f t="shared" si="0"/>
        <v>812</v>
      </c>
      <c r="O19">
        <v>810</v>
      </c>
      <c r="P19">
        <v>0</v>
      </c>
      <c r="Q19">
        <v>1</v>
      </c>
      <c r="R19">
        <v>0</v>
      </c>
      <c r="S19" t="s">
        <v>33</v>
      </c>
      <c r="T19" t="str">
        <f>HYPERLINK("https://images.diginfra.net/framed3.html?imagesetuuid=e8c5617e-c060-4d57-a0d9-c22a4796ba85&amp;uri=https://images.diginfra.net/iiif/NL-HaNA_1.01.02/3805/NL-HaNA_1.01.02_3805_0406.jpg", "viewer_url")</f>
        <v>viewer_url</v>
      </c>
      <c r="U19" t="str">
        <f>HYPERLINK("https://images.diginfra.net/iiif/NL-HaNA_1.01.02/3805/NL-HaNA_1.01.02_3805_0406.jpg/287,1109,1089,2372/full/0/default.jpg", "iiif_url")</f>
        <v>iiif_url</v>
      </c>
      <c r="V19" t="s">
        <v>33</v>
      </c>
      <c r="W19" t="s">
        <v>117</v>
      </c>
      <c r="X19" t="str">
        <f>HYPERLINK("https://images.diginfra.net/framed3.html?imagesetuuid=e8c5617e-c060-4d57-a0d9-c22a4796ba85&amp;uri=https://images.diginfra.net/iiif/NL-HaNA_1.01.02/3805/NL-HaNA_1.01.02_3805_0405.jpg", "prev_meeting_viewer_url")</f>
        <v>prev_meeting_viewer_url</v>
      </c>
      <c r="Y19" t="str">
        <f>HYPERLINK("https://images.diginfra.net/iiif/NL-HaNA_1.01.02/3805/NL-HaNA_1.01.02_3805_0405.jpg/1201,741,1098,2710/full/0/default.jpg", "prev_meeting_iiif_url")</f>
        <v>prev_meeting_iiif_url</v>
      </c>
      <c r="Z19" t="s">
        <v>33</v>
      </c>
      <c r="AA19" t="s">
        <v>118</v>
      </c>
      <c r="AB19" t="str">
        <f>HYPERLINK("https://images.diginfra.net/framed3.html?imagesetuuid=e8c5617e-c060-4d57-a0d9-c22a4796ba85&amp;uri=https://images.diginfra.net/iiif/NL-HaNA_1.01.02/3805/NL-HaNA_1.01.02_3805_0407.jpg", "next_meeting_viewer_url")</f>
        <v>next_meeting_viewer_url</v>
      </c>
      <c r="AC19" t="str">
        <f>HYPERLINK("https://images.diginfra.net/iiif/NL-HaNA_1.01.02/3805/NL-HaNA_1.01.02_3805_0407.jpg/3318,1520,1100,1904/full/0/default.jpg", "next_meeting_iiif_url")</f>
        <v>next_meeting_iiif_url</v>
      </c>
    </row>
    <row r="20" spans="1:29" x14ac:dyDescent="0.2">
      <c r="A20" t="s">
        <v>119</v>
      </c>
      <c r="B20" t="s">
        <v>63</v>
      </c>
      <c r="D20" t="b">
        <v>0</v>
      </c>
      <c r="E20" t="b">
        <v>0</v>
      </c>
      <c r="F20">
        <v>1</v>
      </c>
      <c r="G20">
        <v>1</v>
      </c>
      <c r="N20">
        <f t="shared" si="0"/>
        <v>0</v>
      </c>
      <c r="T20" t="str">
        <f>HYPERLINK("None", "viewer_url")</f>
        <v>viewer_url</v>
      </c>
      <c r="U20" t="str">
        <f>HYPERLINK("None", "iiif_url")</f>
        <v>iiif_url</v>
      </c>
      <c r="Z20" t="s">
        <v>33</v>
      </c>
      <c r="AA20" t="s">
        <v>120</v>
      </c>
      <c r="AB20" t="str">
        <f>HYPERLINK("https://images.diginfra.net/framed3.html?imagesetuuid=d7b14369-fedc-4c2f-b4ba-0014f4e297b6&amp;uri=https://images.diginfra.net/iiif/NL-HaNA_1.01.02/3808/NL-HaNA_1.01.02_3808_0363.jpg", "next_meeting_viewer_url")</f>
        <v>next_meeting_viewer_url</v>
      </c>
      <c r="AC20" t="str">
        <f>HYPERLINK("https://images.diginfra.net/iiif/NL-HaNA_1.01.02/3808/NL-HaNA_1.01.02_3808_0363.jpg/3343,2364,1042,993/full/0/default.jpg", "next_meeting_iiif_url")</f>
        <v>next_meeting_iiif_url</v>
      </c>
    </row>
    <row r="21" spans="1:29" x14ac:dyDescent="0.2">
      <c r="A21" t="s">
        <v>121</v>
      </c>
      <c r="B21" t="s">
        <v>48</v>
      </c>
      <c r="C21" t="s">
        <v>122</v>
      </c>
      <c r="D21" t="b">
        <v>1</v>
      </c>
      <c r="E21" t="b">
        <v>1</v>
      </c>
      <c r="F21">
        <v>1</v>
      </c>
      <c r="I21" t="s">
        <v>123</v>
      </c>
      <c r="J21">
        <v>3765</v>
      </c>
      <c r="K21">
        <v>182</v>
      </c>
      <c r="L21">
        <v>1253</v>
      </c>
      <c r="M21">
        <v>863</v>
      </c>
      <c r="N21">
        <f t="shared" si="0"/>
        <v>364</v>
      </c>
      <c r="O21">
        <v>362</v>
      </c>
      <c r="P21">
        <v>1</v>
      </c>
      <c r="Q21">
        <v>1</v>
      </c>
      <c r="R21">
        <v>0</v>
      </c>
      <c r="S21" t="s">
        <v>33</v>
      </c>
      <c r="T21" t="str">
        <f>HYPERLINK("https://images.diginfra.net/framed3.html?imagesetuuid=4dfc1a1b-8cdf-4492-b411-5e67950ce484&amp;uri=https://images.diginfra.net/iiif/NL-HaNA_1.01.02/3765/NL-HaNA_1.01.02_3765_0182.jpg", "viewer_url")</f>
        <v>viewer_url</v>
      </c>
      <c r="U21" t="str">
        <f>HYPERLINK("https://images.diginfra.net/iiif/NL-HaNA_1.01.02/3765/NL-HaNA_1.01.02_3765_0182.jpg/1253,863,1139,2606/full/0/default.jpg", "iiif_url")</f>
        <v>iiif_url</v>
      </c>
      <c r="V21" t="s">
        <v>33</v>
      </c>
      <c r="W21" t="s">
        <v>124</v>
      </c>
      <c r="X21" t="str">
        <f>HYPERLINK("https://images.diginfra.net/framed3.html?imagesetuuid=4dfc1a1b-8cdf-4492-b411-5e67950ce484&amp;uri=https://images.diginfra.net/iiif/NL-HaNA_1.01.02/3765/NL-HaNA_1.01.02_3765_0179.jpg", "prev_meeting_viewer_url")</f>
        <v>prev_meeting_viewer_url</v>
      </c>
      <c r="Y21" t="str">
        <f>HYPERLINK("https://images.diginfra.net/iiif/NL-HaNA_1.01.02/3765/NL-HaNA_1.01.02_3765_0179.jpg/383,2902,1039,465/full/0/default.jpg", "prev_meeting_iiif_url")</f>
        <v>prev_meeting_iiif_url</v>
      </c>
      <c r="Z21" t="s">
        <v>33</v>
      </c>
      <c r="AA21" t="s">
        <v>125</v>
      </c>
      <c r="AB21" t="str">
        <f>HYPERLINK("https://images.diginfra.net/framed3.html?imagesetuuid=4dfc1a1b-8cdf-4492-b411-5e67950ce484&amp;uri=https://images.diginfra.net/iiif/NL-HaNA_1.01.02/3765/NL-HaNA_1.01.02_3765_0184.jpg", "next_meeting_viewer_url")</f>
        <v>next_meeting_viewer_url</v>
      </c>
      <c r="AC21" t="str">
        <f>HYPERLINK("https://images.diginfra.net/iiif/NL-HaNA_1.01.02/3765/NL-HaNA_1.01.02_3765_0184.jpg/1291,1381,1115,2070/full/0/default.jpg", "next_meeting_iiif_url")</f>
        <v>next_meeting_iiif_url</v>
      </c>
    </row>
    <row r="22" spans="1:29" x14ac:dyDescent="0.2">
      <c r="A22" t="s">
        <v>126</v>
      </c>
      <c r="B22" t="s">
        <v>85</v>
      </c>
      <c r="C22" t="s">
        <v>127</v>
      </c>
      <c r="D22" t="b">
        <v>1</v>
      </c>
      <c r="E22" t="b">
        <v>1</v>
      </c>
      <c r="F22">
        <v>1</v>
      </c>
      <c r="I22" t="s">
        <v>128</v>
      </c>
      <c r="J22">
        <v>3801</v>
      </c>
      <c r="K22">
        <v>57</v>
      </c>
      <c r="L22">
        <v>2509</v>
      </c>
      <c r="M22">
        <v>2425</v>
      </c>
      <c r="N22">
        <f t="shared" si="0"/>
        <v>114</v>
      </c>
      <c r="O22">
        <v>113</v>
      </c>
      <c r="P22">
        <v>0</v>
      </c>
      <c r="Q22">
        <v>3</v>
      </c>
      <c r="R22">
        <v>0</v>
      </c>
      <c r="S22" t="s">
        <v>33</v>
      </c>
      <c r="T22" t="str">
        <f>HYPERLINK("https://images.diginfra.net/framed3.html?imagesetuuid=f36c8416-59a8-4b1a-a82a-ef225cbd1971&amp;uri=https://images.diginfra.net/iiif/NL-HaNA_1.01.02/3801/NL-HaNA_1.01.02_3801_0057.jpg", "viewer_url")</f>
        <v>viewer_url</v>
      </c>
      <c r="U22" t="str">
        <f>HYPERLINK("https://images.diginfra.net/iiif/NL-HaNA_1.01.02/3801/NL-HaNA_1.01.02_3801_0057.jpg/2509,2425,1035,931/full/0/default.jpg", "iiif_url")</f>
        <v>iiif_url</v>
      </c>
      <c r="V22" t="s">
        <v>33</v>
      </c>
      <c r="W22" t="s">
        <v>129</v>
      </c>
      <c r="X22" t="str">
        <f>HYPERLINK("https://images.diginfra.net/framed3.html?imagesetuuid=f36c8416-59a8-4b1a-a82a-ef225cbd1971&amp;uri=https://images.diginfra.net/iiif/NL-HaNA_1.01.02/3801/NL-HaNA_1.01.02_3801_0056.jpg", "prev_meeting_viewer_url")</f>
        <v>prev_meeting_viewer_url</v>
      </c>
      <c r="Y22" t="str">
        <f>HYPERLINK("https://images.diginfra.net/iiif/NL-HaNA_1.01.02/3801/NL-HaNA_1.01.02_3801_0056.jpg/300,1571,1113,1836/full/0/default.jpg", "prev_meeting_iiif_url")</f>
        <v>prev_meeting_iiif_url</v>
      </c>
      <c r="Z22" t="s">
        <v>33</v>
      </c>
      <c r="AA22" t="s">
        <v>130</v>
      </c>
      <c r="AB22" t="str">
        <f>HYPERLINK("https://images.diginfra.net/framed3.html?imagesetuuid=f36c8416-59a8-4b1a-a82a-ef225cbd1971&amp;uri=https://images.diginfra.net/iiif/NL-HaNA_1.01.02/3801/NL-HaNA_1.01.02_3801_0060.jpg", "next_meeting_viewer_url")</f>
        <v>next_meeting_viewer_url</v>
      </c>
      <c r="AC22" t="str">
        <f>HYPERLINK("https://images.diginfra.net/iiif/NL-HaNA_1.01.02/3801/NL-HaNA_1.01.02_3801_0060.jpg/3426,2437,1041,990/full/0/default.jpg", "next_meeting_iiif_url")</f>
        <v>next_meeting_iiif_url</v>
      </c>
    </row>
    <row r="23" spans="1:29" x14ac:dyDescent="0.2">
      <c r="A23" t="s">
        <v>131</v>
      </c>
      <c r="B23" t="s">
        <v>30</v>
      </c>
      <c r="C23" t="s">
        <v>132</v>
      </c>
      <c r="D23" t="b">
        <v>1</v>
      </c>
      <c r="E23" t="b">
        <v>1</v>
      </c>
      <c r="F23">
        <v>1</v>
      </c>
      <c r="I23" t="s">
        <v>133</v>
      </c>
      <c r="J23">
        <v>3843</v>
      </c>
      <c r="K23">
        <v>9</v>
      </c>
      <c r="L23">
        <v>1286</v>
      </c>
      <c r="M23">
        <v>2805</v>
      </c>
      <c r="N23">
        <f t="shared" si="0"/>
        <v>18</v>
      </c>
      <c r="O23">
        <v>16</v>
      </c>
      <c r="P23">
        <v>1</v>
      </c>
      <c r="Q23">
        <v>1</v>
      </c>
      <c r="R23">
        <v>0</v>
      </c>
      <c r="S23" t="s">
        <v>33</v>
      </c>
      <c r="T23" t="str">
        <f>HYPERLINK("https://images.diginfra.net/framed3.html?imagesetuuid=a23b748e-13e4-4409-800c-fc316cd23dec&amp;uri=https://images.diginfra.net/iiif/NL-HaNA_1.01.02/3843/NL-HaNA_1.01.02_3843_0009.jpg", "viewer_url")</f>
        <v>viewer_url</v>
      </c>
      <c r="U23" t="str">
        <f>HYPERLINK("https://images.diginfra.net/iiif/NL-HaNA_1.01.02/3843/NL-HaNA_1.01.02_3843_0009.jpg/1286,2805,1021,647/full/0/default.jpg", "iiif_url")</f>
        <v>iiif_url</v>
      </c>
      <c r="V23" t="s">
        <v>33</v>
      </c>
      <c r="W23" t="s">
        <v>134</v>
      </c>
      <c r="X23" t="str">
        <f>HYPERLINK("https://images.diginfra.net/framed3.html?imagesetuuid=a23b748e-13e4-4409-800c-fc316cd23dec&amp;uri=https://images.diginfra.net/iiif/NL-HaNA_1.01.02/3843/NL-HaNA_1.01.02_3843_0007.jpg", "prev_meeting_viewer_url")</f>
        <v>prev_meeting_viewer_url</v>
      </c>
      <c r="Y23" t="str">
        <f>HYPERLINK("https://images.diginfra.net/iiif/NL-HaNA_1.01.02/3843/NL-HaNA_1.01.02_3843_0007.jpg/303,384,1083,2924/full/0/default.jpg", "prev_meeting_iiif_url")</f>
        <v>prev_meeting_iiif_url</v>
      </c>
      <c r="Z23" t="s">
        <v>33</v>
      </c>
      <c r="AB23" t="str">
        <f>HYPERLINK("https://images.diginfra.net/framed3.html?imagesetuuid=a23b748e-13e4-4409-800c-fc316cd23dec&amp;uri=https://images.diginfra.net/iiif/NL-HaNA_1.01.02/3843/NL-HaNA_1.01.02_3843_0011.jpg", "next_meeting_viewer_url")</f>
        <v>next_meeting_viewer_url</v>
      </c>
      <c r="AC23" t="str">
        <f>HYPERLINK("https://images.diginfra.net/iiif/NL-HaNA_1.01.02/3843/NL-HaNA_1.01.02_3843_0011.jpg/1231,393,1120,3072/full/0/default.jpg", "next_meeting_iiif_url")</f>
        <v>next_meeting_iiif_url</v>
      </c>
    </row>
    <row r="24" spans="1:29" x14ac:dyDescent="0.2">
      <c r="A24" t="s">
        <v>135</v>
      </c>
      <c r="B24" t="s">
        <v>79</v>
      </c>
      <c r="C24" t="s">
        <v>136</v>
      </c>
      <c r="D24" t="b">
        <v>1</v>
      </c>
      <c r="E24" t="b">
        <v>1</v>
      </c>
      <c r="F24">
        <v>1</v>
      </c>
      <c r="I24" t="s">
        <v>137</v>
      </c>
      <c r="J24">
        <v>3772</v>
      </c>
      <c r="K24">
        <v>67</v>
      </c>
      <c r="L24">
        <v>291</v>
      </c>
      <c r="M24">
        <v>831</v>
      </c>
      <c r="N24">
        <f t="shared" si="0"/>
        <v>134</v>
      </c>
      <c r="O24">
        <v>132</v>
      </c>
      <c r="P24">
        <v>0</v>
      </c>
      <c r="Q24">
        <v>1</v>
      </c>
      <c r="R24">
        <v>1</v>
      </c>
      <c r="S24" t="s">
        <v>33</v>
      </c>
      <c r="T24" t="str">
        <f>HYPERLINK("https://images.diginfra.net/framed3.html?imagesetuuid=7816564e-398d-48a2-b251-a02a50cc0b59&amp;uri=https://images.diginfra.net/iiif/NL-HaNA_1.01.02/3772/NL-HaNA_1.01.02_3772_0067.jpg", "viewer_url")</f>
        <v>viewer_url</v>
      </c>
      <c r="U24" t="str">
        <f>HYPERLINK("https://images.diginfra.net/iiif/NL-HaNA_1.01.02/3772/NL-HaNA_1.01.02_3772_0067.jpg/291,831,1099,2621/full/0/default.jpg", "iiif_url")</f>
        <v>iiif_url</v>
      </c>
      <c r="V24" t="s">
        <v>33</v>
      </c>
      <c r="W24" t="s">
        <v>138</v>
      </c>
      <c r="X24" t="str">
        <f>HYPERLINK("https://images.diginfra.net/framed3.html?imagesetuuid=7816564e-398d-48a2-b251-a02a50cc0b59&amp;uri=https://images.diginfra.net/iiif/NL-HaNA_1.01.02/3772/NL-HaNA_1.01.02_3772_0065.jpg", "prev_meeting_viewer_url")</f>
        <v>prev_meeting_viewer_url</v>
      </c>
      <c r="Y24" t="str">
        <f>HYPERLINK("https://images.diginfra.net/iiif/NL-HaNA_1.01.02/3772/NL-HaNA_1.01.02_3772_0065.jpg/2394,1715,1087,1757/full/0/default.jpg", "prev_meeting_iiif_url")</f>
        <v>prev_meeting_iiif_url</v>
      </c>
      <c r="Z24" t="s">
        <v>44</v>
      </c>
      <c r="AA24" t="s">
        <v>139</v>
      </c>
      <c r="AB24" t="str">
        <f>HYPERLINK("https://images.diginfra.net/framed3.html?imagesetuuid=7816564e-398d-48a2-b251-a02a50cc0b59&amp;uri=https://images.diginfra.net/iiif/NL-HaNA_1.01.02/3772/NL-HaNA_1.01.02_3772_0069.jpg", "next_meeting_viewer_url")</f>
        <v>next_meeting_viewer_url</v>
      </c>
      <c r="AC24" t="str">
        <f>HYPERLINK("https://images.diginfra.net/iiif/NL-HaNA_1.01.02/3772/NL-HaNA_1.01.02_3772_0069.jpg/2367,1515,1088,1911/full/0/default.jpg", "next_meeting_iiif_url")</f>
        <v>next_meeting_iiif_url</v>
      </c>
    </row>
    <row r="25" spans="1:29" x14ac:dyDescent="0.2">
      <c r="A25" t="s">
        <v>140</v>
      </c>
      <c r="B25" t="s">
        <v>48</v>
      </c>
      <c r="C25" t="s">
        <v>141</v>
      </c>
      <c r="D25" t="b">
        <v>1</v>
      </c>
      <c r="E25" t="b">
        <v>1</v>
      </c>
      <c r="F25">
        <v>1</v>
      </c>
      <c r="I25" t="s">
        <v>142</v>
      </c>
      <c r="J25">
        <v>3767</v>
      </c>
      <c r="K25">
        <v>116</v>
      </c>
      <c r="L25">
        <v>3622</v>
      </c>
      <c r="M25">
        <v>2632</v>
      </c>
      <c r="N25">
        <f t="shared" si="0"/>
        <v>232</v>
      </c>
      <c r="O25">
        <v>231</v>
      </c>
      <c r="P25">
        <v>1</v>
      </c>
      <c r="Q25">
        <v>2</v>
      </c>
      <c r="R25">
        <v>0</v>
      </c>
      <c r="S25" t="s">
        <v>33</v>
      </c>
      <c r="T25" t="str">
        <f>HYPERLINK("https://images.diginfra.net/framed3.html?imagesetuuid=1dfc3e45-daeb-4e8d-b5c8-e02b6196102c&amp;uri=https://images.diginfra.net/iiif/NL-HaNA_1.01.02/3767/NL-HaNA_1.01.02_3767_0116.jpg", "viewer_url")</f>
        <v>viewer_url</v>
      </c>
      <c r="U25" t="str">
        <f>HYPERLINK("https://images.diginfra.net/iiif/NL-HaNA_1.01.02/3767/NL-HaNA_1.01.02_3767_0116.jpg/3622,2632,1034,796/full/0/default.jpg", "iiif_url")</f>
        <v>iiif_url</v>
      </c>
      <c r="V25" t="s">
        <v>33</v>
      </c>
      <c r="W25" t="s">
        <v>143</v>
      </c>
      <c r="X25" t="str">
        <f>HYPERLINK("https://images.diginfra.net/framed3.html?imagesetuuid=1dfc3e45-daeb-4e8d-b5c8-e02b6196102c&amp;uri=https://images.diginfra.net/iiif/NL-HaNA_1.01.02/3767/NL-HaNA_1.01.02_3767_0114.jpg", "prev_meeting_viewer_url")</f>
        <v>prev_meeting_viewer_url</v>
      </c>
      <c r="Y25" t="str">
        <f>HYPERLINK("https://images.diginfra.net/iiif/NL-HaNA_1.01.02/3767/NL-HaNA_1.01.02_3767_0114.jpg/340,1046,1136,2361/full/0/default.jpg", "prev_meeting_iiif_url")</f>
        <v>prev_meeting_iiif_url</v>
      </c>
      <c r="Z25" t="s">
        <v>33</v>
      </c>
      <c r="AA25" t="s">
        <v>144</v>
      </c>
      <c r="AB25" t="str">
        <f>HYPERLINK("https://images.diginfra.net/framed3.html?imagesetuuid=1dfc3e45-daeb-4e8d-b5c8-e02b6196102c&amp;uri=https://images.diginfra.net/iiif/NL-HaNA_1.01.02/3767/NL-HaNA_1.01.02_3767_0119.jpg", "next_meeting_viewer_url")</f>
        <v>next_meeting_viewer_url</v>
      </c>
      <c r="AC25" t="str">
        <f>HYPERLINK("https://images.diginfra.net/iiif/NL-HaNA_1.01.02/3767/NL-HaNA_1.01.02_3767_0119.jpg/1400,2574,1071,809/full/0/default.jpg", "next_meeting_iiif_url")</f>
        <v>next_meeting_iiif_url</v>
      </c>
    </row>
    <row r="26" spans="1:29" x14ac:dyDescent="0.2">
      <c r="A26" t="s">
        <v>145</v>
      </c>
      <c r="B26" t="s">
        <v>85</v>
      </c>
      <c r="C26" t="s">
        <v>146</v>
      </c>
      <c r="D26" t="b">
        <v>1</v>
      </c>
      <c r="E26" t="b">
        <v>1</v>
      </c>
      <c r="F26">
        <v>1</v>
      </c>
      <c r="I26" t="s">
        <v>147</v>
      </c>
      <c r="J26">
        <v>3826</v>
      </c>
      <c r="K26">
        <v>492</v>
      </c>
      <c r="L26">
        <v>308</v>
      </c>
      <c r="M26">
        <v>2848</v>
      </c>
      <c r="N26">
        <f t="shared" si="0"/>
        <v>984</v>
      </c>
      <c r="O26">
        <v>982</v>
      </c>
      <c r="P26">
        <v>0</v>
      </c>
      <c r="Q26">
        <v>1</v>
      </c>
      <c r="R26">
        <v>0</v>
      </c>
      <c r="S26" t="s">
        <v>33</v>
      </c>
      <c r="T26" t="str">
        <f>HYPERLINK("https://images.diginfra.net/framed3.html?imagesetuuid=9e71b122-742f-4bfd-bebd-880415775331&amp;uri=https://images.diginfra.net/iiif/NL-HaNA_1.01.02/3826/NL-HaNA_1.01.02_3826_0492.jpg", "viewer_url")</f>
        <v>viewer_url</v>
      </c>
      <c r="U26" t="str">
        <f>HYPERLINK("https://images.diginfra.net/iiif/NL-HaNA_1.01.02/3826/NL-HaNA_1.01.02_3826_0492.jpg/308,2848,1016,499/full/0/default.jpg", "iiif_url")</f>
        <v>iiif_url</v>
      </c>
      <c r="Z26" t="s">
        <v>33</v>
      </c>
      <c r="AA26" t="s">
        <v>148</v>
      </c>
      <c r="AB26" t="str">
        <f>HYPERLINK("https://images.diginfra.net/framed3.html?imagesetuuid=9e71b122-742f-4bfd-bebd-880415775331&amp;uri=https://images.diginfra.net/iiif/NL-HaNA_1.01.02/3826/NL-HaNA_1.01.02_3826_0492.jpg", "next_meeting_viewer_url")</f>
        <v>next_meeting_viewer_url</v>
      </c>
      <c r="AC26" t="str">
        <f>HYPERLINK("https://images.diginfra.net/iiif/NL-HaNA_1.01.02/3826/NL-HaNA_1.01.02_3826_0492.jpg/1263,2256,1017,1091/full/0/default.jpg", "next_meeting_iiif_url")</f>
        <v>next_meeting_iiif_url</v>
      </c>
    </row>
    <row r="27" spans="1:29" x14ac:dyDescent="0.2">
      <c r="A27" t="s">
        <v>149</v>
      </c>
      <c r="B27" t="s">
        <v>85</v>
      </c>
      <c r="C27" t="s">
        <v>150</v>
      </c>
      <c r="D27" t="b">
        <v>1</v>
      </c>
      <c r="E27" t="b">
        <v>1</v>
      </c>
      <c r="F27">
        <v>1</v>
      </c>
      <c r="I27" t="s">
        <v>151</v>
      </c>
      <c r="J27">
        <v>3781</v>
      </c>
      <c r="K27">
        <v>157</v>
      </c>
      <c r="L27">
        <v>3495</v>
      </c>
      <c r="M27">
        <v>1939</v>
      </c>
      <c r="N27">
        <f t="shared" si="0"/>
        <v>314</v>
      </c>
      <c r="O27">
        <v>313</v>
      </c>
      <c r="P27">
        <v>1</v>
      </c>
      <c r="Q27">
        <v>1</v>
      </c>
      <c r="R27">
        <v>0</v>
      </c>
      <c r="S27" t="s">
        <v>33</v>
      </c>
      <c r="T27" t="str">
        <f>HYPERLINK("https://images.diginfra.net/framed3.html?imagesetuuid=7806433b-7f26-4d4e-8e76-37d108a188de&amp;uri=https://images.diginfra.net/iiif/NL-HaNA_1.01.02/3781/NL-HaNA_1.01.02_3781_0157.jpg", "viewer_url")</f>
        <v>viewer_url</v>
      </c>
      <c r="U27" t="str">
        <f>HYPERLINK("https://images.diginfra.net/iiif/NL-HaNA_1.01.02/3781/NL-HaNA_1.01.02_3781_0157.jpg/3495,1939,1093,1534/full/0/default.jpg", "iiif_url")</f>
        <v>iiif_url</v>
      </c>
      <c r="V27" t="s">
        <v>33</v>
      </c>
      <c r="W27" t="s">
        <v>152</v>
      </c>
      <c r="X27" t="str">
        <f>HYPERLINK("https://images.diginfra.net/framed3.html?imagesetuuid=7806433b-7f26-4d4e-8e76-37d108a188de&amp;uri=https://images.diginfra.net/iiif/NL-HaNA_1.01.02/3781/NL-HaNA_1.01.02_3781_0156.jpg", "prev_meeting_viewer_url")</f>
        <v>prev_meeting_viewer_url</v>
      </c>
      <c r="Y27" t="str">
        <f>HYPERLINK("https://images.diginfra.net/iiif/NL-HaNA_1.01.02/3781/NL-HaNA_1.01.02_3781_0156.jpg/3491,2275,1103,1124/full/0/default.jpg", "prev_meeting_iiif_url")</f>
        <v>prev_meeting_iiif_url</v>
      </c>
      <c r="Z27" t="s">
        <v>33</v>
      </c>
      <c r="AA27" t="s">
        <v>153</v>
      </c>
      <c r="AB27" t="str">
        <f>HYPERLINK("https://images.diginfra.net/framed3.html?imagesetuuid=7806433b-7f26-4d4e-8e76-37d108a188de&amp;uri=https://images.diginfra.net/iiif/NL-HaNA_1.01.02/3781/NL-HaNA_1.01.02_3781_0159.jpg", "next_meeting_viewer_url")</f>
        <v>next_meeting_viewer_url</v>
      </c>
      <c r="AC27" t="str">
        <f>HYPERLINK("https://images.diginfra.net/iiif/NL-HaNA_1.01.02/3781/NL-HaNA_1.01.02_3781_0159.jpg/2552,1232,1110,2204/full/0/default.jpg", "next_meeting_iiif_url")</f>
        <v>next_meeting_iiif_url</v>
      </c>
    </row>
    <row r="28" spans="1:29" x14ac:dyDescent="0.2">
      <c r="A28" t="s">
        <v>154</v>
      </c>
      <c r="B28" t="s">
        <v>30</v>
      </c>
      <c r="C28" t="s">
        <v>155</v>
      </c>
      <c r="D28" t="b">
        <v>1</v>
      </c>
      <c r="E28" t="b">
        <v>1</v>
      </c>
      <c r="F28">
        <v>1</v>
      </c>
      <c r="I28" t="s">
        <v>156</v>
      </c>
      <c r="J28">
        <v>3789</v>
      </c>
      <c r="K28">
        <v>169</v>
      </c>
      <c r="L28">
        <v>1291</v>
      </c>
      <c r="M28">
        <v>1721</v>
      </c>
      <c r="N28">
        <f t="shared" si="0"/>
        <v>338</v>
      </c>
      <c r="O28">
        <v>336</v>
      </c>
      <c r="P28">
        <v>1</v>
      </c>
      <c r="Q28">
        <v>1</v>
      </c>
      <c r="R28">
        <v>0</v>
      </c>
      <c r="S28" t="s">
        <v>33</v>
      </c>
      <c r="T28" t="str">
        <f>HYPERLINK("https://images.diginfra.net/framed3.html?imagesetuuid=b2a3e6f4-5cd7-4539-b0af-036095fc5ec2&amp;uri=https://images.diginfra.net/iiif/NL-HaNA_1.01.02/3789/NL-HaNA_1.01.02_3789_0169.jpg", "viewer_url")</f>
        <v>viewer_url</v>
      </c>
      <c r="U28" t="str">
        <f>HYPERLINK("https://images.diginfra.net/iiif/NL-HaNA_1.01.02/3789/NL-HaNA_1.01.02_3789_0169.jpg/1291,1721,1092,1660/full/0/default.jpg", "iiif_url")</f>
        <v>iiif_url</v>
      </c>
      <c r="V28" t="s">
        <v>33</v>
      </c>
      <c r="W28" t="s">
        <v>157</v>
      </c>
      <c r="X28" t="str">
        <f>HYPERLINK("https://images.diginfra.net/framed3.html?imagesetuuid=b2a3e6f4-5cd7-4539-b0af-036095fc5ec2&amp;uri=https://images.diginfra.net/iiif/NL-HaNA_1.01.02/3789/NL-HaNA_1.01.02_3789_0167.jpg", "prev_meeting_viewer_url")</f>
        <v>prev_meeting_viewer_url</v>
      </c>
      <c r="Y28" t="str">
        <f>HYPERLINK("https://images.diginfra.net/iiif/NL-HaNA_1.01.02/3789/NL-HaNA_1.01.02_3789_0167.jpg/3411,323,1093,3085/full/0/default.jpg", "prev_meeting_iiif_url")</f>
        <v>prev_meeting_iiif_url</v>
      </c>
      <c r="Z28" t="s">
        <v>44</v>
      </c>
      <c r="AA28" t="s">
        <v>158</v>
      </c>
      <c r="AB28" t="str">
        <f>HYPERLINK("https://images.diginfra.net/framed3.html?imagesetuuid=b2a3e6f4-5cd7-4539-b0af-036095fc5ec2&amp;uri=https://images.diginfra.net/iiif/NL-HaNA_1.01.02/3789/NL-HaNA_1.01.02_3789_0171.jpg", "next_meeting_viewer_url")</f>
        <v>next_meeting_viewer_url</v>
      </c>
      <c r="AC28" t="str">
        <f>HYPERLINK("https://images.diginfra.net/iiif/NL-HaNA_1.01.02/3789/NL-HaNA_1.01.02_3789_0171.jpg/1193,637,1104,2808/full/0/default.jpg", "next_meeting_iiif_url")</f>
        <v>next_meeting_iiif_url</v>
      </c>
    </row>
    <row r="29" spans="1:29" x14ac:dyDescent="0.2">
      <c r="A29" t="s">
        <v>159</v>
      </c>
      <c r="B29" t="s">
        <v>79</v>
      </c>
      <c r="C29" t="s">
        <v>160</v>
      </c>
      <c r="D29" t="b">
        <v>1</v>
      </c>
      <c r="E29" t="b">
        <v>1</v>
      </c>
      <c r="F29">
        <v>1</v>
      </c>
      <c r="I29" t="s">
        <v>161</v>
      </c>
      <c r="J29">
        <v>3786</v>
      </c>
      <c r="K29">
        <v>101</v>
      </c>
      <c r="L29">
        <v>2386</v>
      </c>
      <c r="M29">
        <v>1250</v>
      </c>
      <c r="N29">
        <f t="shared" si="0"/>
        <v>202</v>
      </c>
      <c r="O29">
        <v>201</v>
      </c>
      <c r="P29">
        <v>0</v>
      </c>
      <c r="Q29">
        <v>1</v>
      </c>
      <c r="R29">
        <v>0</v>
      </c>
      <c r="S29" t="s">
        <v>33</v>
      </c>
      <c r="T29" t="str">
        <f>HYPERLINK("https://images.diginfra.net/framed3.html?imagesetuuid=508661ee-474e-44be-a74a-8aac34348aeb&amp;uri=https://images.diginfra.net/iiif/NL-HaNA_1.01.02/3786/NL-HaNA_1.01.02_3786_0101.jpg", "viewer_url")</f>
        <v>viewer_url</v>
      </c>
      <c r="U29" t="str">
        <f>HYPERLINK("https://images.diginfra.net/iiif/NL-HaNA_1.01.02/3786/NL-HaNA_1.01.02_3786_0101.jpg/2386,1250,1074,2155/full/0/default.jpg", "iiif_url")</f>
        <v>iiif_url</v>
      </c>
      <c r="V29" t="s">
        <v>33</v>
      </c>
      <c r="W29" t="s">
        <v>162</v>
      </c>
      <c r="X29" t="str">
        <f>HYPERLINK("https://images.diginfra.net/framed3.html?imagesetuuid=508661ee-474e-44be-a74a-8aac34348aeb&amp;uri=https://images.diginfra.net/iiif/NL-HaNA_1.01.02/3786/NL-HaNA_1.01.02_3786_0100.jpg", "prev_meeting_viewer_url")</f>
        <v>prev_meeting_viewer_url</v>
      </c>
      <c r="Y29" t="str">
        <f>HYPERLINK("https://images.diginfra.net/iiif/NL-HaNA_1.01.02/3786/NL-HaNA_1.01.02_3786_0100.jpg/2490,2867,927,496/full/0/default.jpg", "prev_meeting_iiif_url")</f>
        <v>prev_meeting_iiif_url</v>
      </c>
      <c r="Z29" t="s">
        <v>33</v>
      </c>
      <c r="AB29" t="str">
        <f>HYPERLINK("https://images.diginfra.net/framed3.html?imagesetuuid=508661ee-474e-44be-a74a-8aac34348aeb&amp;uri=https://images.diginfra.net/iiif/NL-HaNA_1.01.02/3786/NL-HaNA_1.01.02_3786_0102.jpg", "next_meeting_viewer_url")</f>
        <v>next_meeting_viewer_url</v>
      </c>
      <c r="AC29" t="str">
        <f>HYPERLINK("https://images.diginfra.net/iiif/NL-HaNA_1.01.02/3786/NL-HaNA_1.01.02_3786_0102.jpg/2371,399,1126,3037/full/0/default.jpg", "next_meeting_iiif_url")</f>
        <v>next_meeting_iiif_url</v>
      </c>
    </row>
    <row r="30" spans="1:29" x14ac:dyDescent="0.2">
      <c r="A30" t="s">
        <v>163</v>
      </c>
      <c r="B30" t="s">
        <v>85</v>
      </c>
      <c r="D30" t="b">
        <v>1</v>
      </c>
      <c r="E30" t="b">
        <v>1</v>
      </c>
      <c r="F30">
        <v>1</v>
      </c>
      <c r="I30" t="s">
        <v>164</v>
      </c>
      <c r="J30">
        <v>3855</v>
      </c>
      <c r="K30">
        <v>23</v>
      </c>
      <c r="L30">
        <v>3385</v>
      </c>
      <c r="M30">
        <v>3017</v>
      </c>
      <c r="N30">
        <f t="shared" si="0"/>
        <v>46</v>
      </c>
      <c r="O30">
        <v>45</v>
      </c>
      <c r="P30">
        <v>1</v>
      </c>
      <c r="Q30">
        <v>1</v>
      </c>
      <c r="R30">
        <v>7</v>
      </c>
      <c r="S30" t="s">
        <v>33</v>
      </c>
      <c r="T30" t="str">
        <f>HYPERLINK("https://images.diginfra.net/framed3.html?imagesetuuid=5244deb9-8f97-4a39-89ba-6da1d308b8f5&amp;uri=https://images.diginfra.net/iiif/NL-HaNA_1.01.02/3855/NL-HaNA_1.01.02_3855_0023.jpg", "viewer_url")</f>
        <v>viewer_url</v>
      </c>
      <c r="U30" t="str">
        <f>HYPERLINK("https://images.diginfra.net/iiif/NL-HaNA_1.01.02/3855/NL-HaNA_1.01.02_3855_0023.jpg/3385,2179,1071,1187/full/0/default.jpg", "iiif_url")</f>
        <v>iiif_url</v>
      </c>
      <c r="V30" t="s">
        <v>33</v>
      </c>
      <c r="W30" t="s">
        <v>165</v>
      </c>
      <c r="X30" t="str">
        <f>HYPERLINK("https://images.diginfra.net/framed3.html?imagesetuuid=5244deb9-8f97-4a39-89ba-6da1d308b8f5&amp;uri=https://images.diginfra.net/iiif/NL-HaNA_1.01.02/3855/NL-HaNA_1.01.02_3855_0022.jpg", "prev_meeting_viewer_url")</f>
        <v>prev_meeting_viewer_url</v>
      </c>
      <c r="Y30" t="str">
        <f>HYPERLINK("https://images.diginfra.net/iiif/NL-HaNA_1.01.02/3855/NL-HaNA_1.01.02_3855_0022.jpg/3463,2265,1028,1086/full/0/default.jpg", "prev_meeting_iiif_url")</f>
        <v>prev_meeting_iiif_url</v>
      </c>
      <c r="Z30" t="s">
        <v>33</v>
      </c>
      <c r="AB30" t="str">
        <f>HYPERLINK("https://images.diginfra.net/framed3.html?imagesetuuid=5244deb9-8f97-4a39-89ba-6da1d308b8f5&amp;uri=https://images.diginfra.net/iiif/NL-HaNA_1.01.02/3855/NL-HaNA_1.01.02_3855_0024.jpg", "next_meeting_viewer_url")</f>
        <v>next_meeting_viewer_url</v>
      </c>
      <c r="AC30" t="str">
        <f>HYPERLINK("https://images.diginfra.net/iiif/NL-HaNA_1.01.02/3855/NL-HaNA_1.01.02_3855_0024.jpg/2486,353,1060,3016/full/0/default.jpg", "next_meeting_iiif_url")</f>
        <v>next_meeting_iiif_url</v>
      </c>
    </row>
    <row r="31" spans="1:29" x14ac:dyDescent="0.2">
      <c r="A31" t="s">
        <v>166</v>
      </c>
      <c r="B31" t="s">
        <v>30</v>
      </c>
      <c r="C31" t="s">
        <v>167</v>
      </c>
      <c r="D31" t="b">
        <v>1</v>
      </c>
      <c r="E31" t="b">
        <v>1</v>
      </c>
      <c r="F31">
        <v>1</v>
      </c>
      <c r="I31" t="s">
        <v>168</v>
      </c>
      <c r="J31">
        <v>3829</v>
      </c>
      <c r="K31">
        <v>255</v>
      </c>
      <c r="L31">
        <v>2311</v>
      </c>
      <c r="M31">
        <v>997</v>
      </c>
      <c r="N31">
        <f t="shared" si="0"/>
        <v>510</v>
      </c>
      <c r="O31">
        <v>509</v>
      </c>
      <c r="P31">
        <v>0</v>
      </c>
      <c r="Q31">
        <v>1</v>
      </c>
      <c r="R31">
        <v>0</v>
      </c>
      <c r="S31" t="s">
        <v>33</v>
      </c>
      <c r="T31" t="str">
        <f>HYPERLINK("https://images.diginfra.net/framed3.html?imagesetuuid=4a630f3a-34aa-4b1a-92d1-c32d4455e96f&amp;uri=https://images.diginfra.net/iiif/NL-HaNA_1.01.02/3829/NL-HaNA_1.01.02_3829_0255.jpg", "viewer_url")</f>
        <v>viewer_url</v>
      </c>
      <c r="U31" t="str">
        <f>HYPERLINK("https://images.diginfra.net/iiif/NL-HaNA_1.01.02/3829/NL-HaNA_1.01.02_3829_0255.jpg/2311,997,1067,2389/full/0/default.jpg", "iiif_url")</f>
        <v>iiif_url</v>
      </c>
      <c r="V31" t="s">
        <v>33</v>
      </c>
      <c r="W31" t="s">
        <v>169</v>
      </c>
      <c r="X31" t="str">
        <f>HYPERLINK("https://images.diginfra.net/framed3.html?imagesetuuid=4a630f3a-34aa-4b1a-92d1-c32d4455e96f&amp;uri=https://images.diginfra.net/iiif/NL-HaNA_1.01.02/3829/NL-HaNA_1.01.02_3829_0254.jpg", "prev_meeting_viewer_url")</f>
        <v>prev_meeting_viewer_url</v>
      </c>
      <c r="Y31" t="str">
        <f>HYPERLINK("https://images.diginfra.net/iiif/NL-HaNA_1.01.02/3829/NL-HaNA_1.01.02_3829_0254.jpg/302,1958,1045,1483/full/0/default.jpg", "prev_meeting_iiif_url")</f>
        <v>prev_meeting_iiif_url</v>
      </c>
      <c r="Z31" t="s">
        <v>44</v>
      </c>
      <c r="AA31" t="s">
        <v>170</v>
      </c>
      <c r="AB31" t="str">
        <f>HYPERLINK("https://images.diginfra.net/framed3.html?imagesetuuid=4a630f3a-34aa-4b1a-92d1-c32d4455e96f&amp;uri=https://images.diginfra.net/iiif/NL-HaNA_1.01.02/3829/NL-HaNA_1.01.02_3829_0258.jpg", "next_meeting_viewer_url")</f>
        <v>next_meeting_viewer_url</v>
      </c>
      <c r="AC31" t="str">
        <f>HYPERLINK("https://images.diginfra.net/iiif/NL-HaNA_1.01.02/3829/NL-HaNA_1.01.02_3829_0258.jpg/211,275,1077,3080/full/0/default.jpg", "next_meeting_iiif_url")</f>
        <v>next_meeting_iiif_url</v>
      </c>
    </row>
    <row r="32" spans="1:29" x14ac:dyDescent="0.2">
      <c r="A32" t="s">
        <v>171</v>
      </c>
      <c r="B32" t="s">
        <v>85</v>
      </c>
      <c r="C32" t="s">
        <v>172</v>
      </c>
      <c r="D32" t="b">
        <v>1</v>
      </c>
      <c r="E32" t="b">
        <v>1</v>
      </c>
      <c r="F32">
        <v>1</v>
      </c>
      <c r="I32" t="s">
        <v>173</v>
      </c>
      <c r="J32">
        <v>3809</v>
      </c>
      <c r="K32">
        <v>327</v>
      </c>
      <c r="L32">
        <v>3413</v>
      </c>
      <c r="M32">
        <v>657</v>
      </c>
      <c r="N32">
        <f t="shared" si="0"/>
        <v>654</v>
      </c>
      <c r="O32">
        <v>653</v>
      </c>
      <c r="P32">
        <v>1</v>
      </c>
      <c r="Q32">
        <v>1</v>
      </c>
      <c r="R32">
        <v>0</v>
      </c>
      <c r="S32" t="s">
        <v>33</v>
      </c>
      <c r="T32" t="str">
        <f>HYPERLINK("https://images.diginfra.net/framed3.html?imagesetuuid=a1722cc0-6172-4f06-b30b-cbaf0702bf4b&amp;uri=https://images.diginfra.net/iiif/NL-HaNA_1.01.02/3809/NL-HaNA_1.01.02_3809_0327.jpg", "viewer_url")</f>
        <v>viewer_url</v>
      </c>
      <c r="U32" t="str">
        <f>HYPERLINK("https://images.diginfra.net/iiif/NL-HaNA_1.01.02/3809/NL-HaNA_1.01.02_3809_0327.jpg/3413,657,1122,2732/full/0/default.jpg", "iiif_url")</f>
        <v>iiif_url</v>
      </c>
      <c r="V32" t="s">
        <v>33</v>
      </c>
      <c r="W32" t="s">
        <v>174</v>
      </c>
      <c r="X32" t="str">
        <f>HYPERLINK("https://images.diginfra.net/framed3.html?imagesetuuid=a1722cc0-6172-4f06-b30b-cbaf0702bf4b&amp;uri=https://images.diginfra.net/iiif/NL-HaNA_1.01.02/3809/NL-HaNA_1.01.02_3809_0326.jpg", "prev_meeting_viewer_url")</f>
        <v>prev_meeting_viewer_url</v>
      </c>
      <c r="Y32" t="str">
        <f>HYPERLINK("https://images.diginfra.net/iiif/NL-HaNA_1.01.02/3809/NL-HaNA_1.01.02_3809_0326.jpg/3516,2842,935,543/full/0/default.jpg", "prev_meeting_iiif_url")</f>
        <v>prev_meeting_iiif_url</v>
      </c>
      <c r="Z32" t="s">
        <v>33</v>
      </c>
      <c r="AA32" t="s">
        <v>175</v>
      </c>
      <c r="AB32" t="str">
        <f>HYPERLINK("https://images.diginfra.net/framed3.html?imagesetuuid=a1722cc0-6172-4f06-b30b-cbaf0702bf4b&amp;uri=https://images.diginfra.net/iiif/NL-HaNA_1.01.02/3809/NL-HaNA_1.01.02_3809_0329.jpg", "next_meeting_viewer_url")</f>
        <v>next_meeting_viewer_url</v>
      </c>
      <c r="AC32" t="str">
        <f>HYPERLINK("https://images.diginfra.net/iiif/NL-HaNA_1.01.02/3809/NL-HaNA_1.01.02_3809_0329.jpg/1340,2333,1115,1083/full/0/default.jpg", "next_meeting_iiif_url")</f>
        <v>next_meeting_iiif_url</v>
      </c>
    </row>
    <row r="33" spans="1:29" x14ac:dyDescent="0.2">
      <c r="A33" t="s">
        <v>176</v>
      </c>
      <c r="B33" t="s">
        <v>63</v>
      </c>
      <c r="D33" t="b">
        <v>0</v>
      </c>
      <c r="E33" t="b">
        <v>0</v>
      </c>
      <c r="F33">
        <v>1</v>
      </c>
      <c r="G33">
        <v>1</v>
      </c>
      <c r="N33">
        <f t="shared" si="0"/>
        <v>0</v>
      </c>
      <c r="T33" t="str">
        <f>HYPERLINK("None", "viewer_url")</f>
        <v>viewer_url</v>
      </c>
      <c r="U33" t="str">
        <f>HYPERLINK("None", "iiif_url")</f>
        <v>iiif_url</v>
      </c>
      <c r="V33" t="s">
        <v>33</v>
      </c>
      <c r="W33" t="s">
        <v>177</v>
      </c>
      <c r="X33" t="str">
        <f>HYPERLINK("https://images.diginfra.net/framed3.html?imagesetuuid=88a314f7-936a-49fb-9ac3-0115764531f2&amp;uri=https://images.diginfra.net/iiif/NL-HaNA_1.01.02/3785/NL-HaNA_1.01.02_3785_0263.jpg", "prev_meeting_viewer_url")</f>
        <v>prev_meeting_viewer_url</v>
      </c>
      <c r="Y33" t="str">
        <f>HYPERLINK("https://images.diginfra.net/iiif/NL-HaNA_1.01.02/3785/NL-HaNA_1.01.02_3785_0263.jpg/2393,1848,1091,1478/full/0/default.jpg", "prev_meeting_iiif_url")</f>
        <v>prev_meeting_iiif_url</v>
      </c>
      <c r="Z33" t="s">
        <v>44</v>
      </c>
      <c r="AA33" t="s">
        <v>178</v>
      </c>
      <c r="AB33" t="str">
        <f>HYPERLINK("https://images.diginfra.net/framed3.html?imagesetuuid=88a314f7-936a-49fb-9ac3-0115764531f2&amp;uri=https://images.diginfra.net/iiif/NL-HaNA_1.01.02/3785/NL-HaNA_1.01.02_3785_0264.jpg", "next_meeting_viewer_url")</f>
        <v>next_meeting_viewer_url</v>
      </c>
      <c r="AC33" t="str">
        <f>HYPERLINK("https://images.diginfra.net/iiif/NL-HaNA_1.01.02/3785/NL-HaNA_1.01.02_3785_0264.jpg/1184,1022,1101,2335/full/0/default.jpg", "next_meeting_iiif_url")</f>
        <v>next_meeting_iiif_url</v>
      </c>
    </row>
    <row r="34" spans="1:29" x14ac:dyDescent="0.2">
      <c r="A34" t="s">
        <v>179</v>
      </c>
      <c r="B34" t="s">
        <v>59</v>
      </c>
      <c r="C34" t="s">
        <v>180</v>
      </c>
      <c r="D34" t="b">
        <v>1</v>
      </c>
      <c r="E34" t="b">
        <v>1</v>
      </c>
      <c r="F34">
        <v>1</v>
      </c>
      <c r="I34" t="s">
        <v>181</v>
      </c>
      <c r="J34">
        <v>3798</v>
      </c>
      <c r="K34">
        <v>228</v>
      </c>
      <c r="L34">
        <v>358</v>
      </c>
      <c r="M34">
        <v>564</v>
      </c>
      <c r="N34">
        <f t="shared" ref="N34:N65" si="1">K34*2</f>
        <v>456</v>
      </c>
      <c r="O34">
        <v>454</v>
      </c>
      <c r="P34">
        <v>0</v>
      </c>
      <c r="Q34">
        <v>0</v>
      </c>
      <c r="R34">
        <v>5</v>
      </c>
      <c r="S34" t="s">
        <v>33</v>
      </c>
      <c r="T34" t="str">
        <f>HYPERLINK("https://images.diginfra.net/framed3.html?imagesetuuid=c3e98c27-09b5-46e4-b19a-b811d240b059&amp;uri=https://images.diginfra.net/iiif/NL-HaNA_1.01.02/3798/NL-HaNA_1.01.02_3798_0228.jpg", "viewer_url")</f>
        <v>viewer_url</v>
      </c>
      <c r="U34" t="str">
        <f>HYPERLINK("https://images.diginfra.net/iiif/NL-HaNA_1.01.02/3798/NL-HaNA_1.01.02_3798_0228.jpg/358,564,1088,2848/full/0/default.jpg", "iiif_url")</f>
        <v>iiif_url</v>
      </c>
      <c r="V34" t="s">
        <v>33</v>
      </c>
      <c r="W34" t="s">
        <v>182</v>
      </c>
      <c r="X34" t="str">
        <f>HYPERLINK("https://images.diginfra.net/framed3.html?imagesetuuid=c3e98c27-09b5-46e4-b19a-b811d240b059&amp;uri=https://images.diginfra.net/iiif/NL-HaNA_1.01.02/3798/NL-HaNA_1.01.02_3798_0226.jpg", "prev_meeting_viewer_url")</f>
        <v>prev_meeting_viewer_url</v>
      </c>
      <c r="Y34" t="str">
        <f>HYPERLINK("https://images.diginfra.net/iiif/NL-HaNA_1.01.02/3798/NL-HaNA_1.01.02_3798_0226.jpg/1332,1958,1071,1479/full/0/default.jpg", "prev_meeting_iiif_url")</f>
        <v>prev_meeting_iiif_url</v>
      </c>
      <c r="Z34" t="s">
        <v>33</v>
      </c>
      <c r="AA34" t="s">
        <v>183</v>
      </c>
      <c r="AB34" t="str">
        <f>HYPERLINK("https://images.diginfra.net/framed3.html?imagesetuuid=c3e98c27-09b5-46e4-b19a-b811d240b059&amp;uri=https://images.diginfra.net/iiif/NL-HaNA_1.01.02/3798/NL-HaNA_1.01.02_3798_0228.jpg", "next_meeting_viewer_url")</f>
        <v>next_meeting_viewer_url</v>
      </c>
      <c r="AC34" t="str">
        <f>HYPERLINK("https://images.diginfra.net/iiif/NL-HaNA_1.01.02/3798/NL-HaNA_1.01.02_3798_0228.jpg/3368,1012,1072,2398/full/0/default.jpg", "next_meeting_iiif_url")</f>
        <v>next_meeting_iiif_url</v>
      </c>
    </row>
    <row r="35" spans="1:29" x14ac:dyDescent="0.2">
      <c r="A35" t="s">
        <v>184</v>
      </c>
      <c r="B35" t="s">
        <v>30</v>
      </c>
      <c r="C35" t="s">
        <v>185</v>
      </c>
      <c r="D35" t="b">
        <v>1</v>
      </c>
      <c r="E35" t="b">
        <v>1</v>
      </c>
      <c r="F35">
        <v>1</v>
      </c>
      <c r="I35" t="s">
        <v>186</v>
      </c>
      <c r="J35">
        <v>3811</v>
      </c>
      <c r="K35">
        <v>145</v>
      </c>
      <c r="L35">
        <v>1199</v>
      </c>
      <c r="M35">
        <v>2952</v>
      </c>
      <c r="N35">
        <f t="shared" si="1"/>
        <v>290</v>
      </c>
      <c r="O35">
        <v>288</v>
      </c>
      <c r="P35">
        <v>1</v>
      </c>
      <c r="Q35">
        <v>0</v>
      </c>
      <c r="R35">
        <v>61</v>
      </c>
      <c r="S35" t="s">
        <v>33</v>
      </c>
      <c r="T35" t="str">
        <f>HYPERLINK("https://images.diginfra.net/framed3.html?imagesetuuid=f707f64c-15ec-4624-ba99-82cb83d16c2c&amp;uri=https://images.diginfra.net/iiif/NL-HaNA_1.01.02/3811/NL-HaNA_1.01.02_3811_0145.jpg", "viewer_url")</f>
        <v>viewer_url</v>
      </c>
      <c r="U35" t="str">
        <f>HYPERLINK("https://images.diginfra.net/iiif/NL-HaNA_1.01.02/3811/NL-HaNA_1.01.02_3811_0145.jpg/1199,2952,1097,431/full/0/default.jpg", "iiif_url")</f>
        <v>iiif_url</v>
      </c>
      <c r="V35" t="s">
        <v>33</v>
      </c>
      <c r="W35" t="s">
        <v>187</v>
      </c>
      <c r="X35" t="str">
        <f>HYPERLINK("https://images.diginfra.net/framed3.html?imagesetuuid=f707f64c-15ec-4624-ba99-82cb83d16c2c&amp;uri=https://images.diginfra.net/iiif/NL-HaNA_1.01.02/3811/NL-HaNA_1.01.02_3811_0142.jpg", "prev_meeting_viewer_url")</f>
        <v>prev_meeting_viewer_url</v>
      </c>
      <c r="Y35" t="str">
        <f>HYPERLINK("https://images.diginfra.net/iiif/NL-HaNA_1.01.02/3811/NL-HaNA_1.01.02_3811_0142.jpg/3427,2144,1060,1268/full/0/default.jpg", "prev_meeting_iiif_url")</f>
        <v>prev_meeting_iiif_url</v>
      </c>
      <c r="Z35" t="s">
        <v>33</v>
      </c>
      <c r="AA35" t="s">
        <v>188</v>
      </c>
      <c r="AB35" t="str">
        <f>HYPERLINK("https://images.diginfra.net/framed3.html?imagesetuuid=f707f64c-15ec-4624-ba99-82cb83d16c2c&amp;uri=https://images.diginfra.net/iiif/NL-HaNA_1.01.02/3811/NL-HaNA_1.01.02_3811_0146.jpg", "next_meeting_viewer_url")</f>
        <v>next_meeting_viewer_url</v>
      </c>
      <c r="AC35" t="str">
        <f>HYPERLINK("https://images.diginfra.net/iiif/NL-HaNA_1.01.02/3811/NL-HaNA_1.01.02_3811_0146.jpg/2464,1472,1092,2005/full/0/default.jpg", "next_meeting_iiif_url")</f>
        <v>next_meeting_iiif_url</v>
      </c>
    </row>
    <row r="36" spans="1:29" x14ac:dyDescent="0.2">
      <c r="A36" t="s">
        <v>189</v>
      </c>
      <c r="B36" t="s">
        <v>30</v>
      </c>
      <c r="C36" t="s">
        <v>190</v>
      </c>
      <c r="D36" t="b">
        <v>1</v>
      </c>
      <c r="E36" t="b">
        <v>1</v>
      </c>
      <c r="F36">
        <v>1</v>
      </c>
      <c r="I36" t="s">
        <v>191</v>
      </c>
      <c r="J36">
        <v>3821</v>
      </c>
      <c r="K36">
        <v>362</v>
      </c>
      <c r="L36">
        <v>3354</v>
      </c>
      <c r="M36">
        <v>1244</v>
      </c>
      <c r="N36">
        <f t="shared" si="1"/>
        <v>724</v>
      </c>
      <c r="O36">
        <v>723</v>
      </c>
      <c r="P36">
        <v>1</v>
      </c>
      <c r="Q36">
        <v>1</v>
      </c>
      <c r="R36">
        <v>0</v>
      </c>
      <c r="S36" t="s">
        <v>33</v>
      </c>
      <c r="T36" t="str">
        <f>HYPERLINK("https://images.diginfra.net/framed3.html?imagesetuuid=d2997452-8788-4796-912c-2151f3b459f9&amp;uri=https://images.diginfra.net/iiif/NL-HaNA_1.01.02/3821/NL-HaNA_1.01.02_3821_0362.jpg", "viewer_url")</f>
        <v>viewer_url</v>
      </c>
      <c r="U36" t="str">
        <f>HYPERLINK("https://images.diginfra.net/iiif/NL-HaNA_1.01.02/3821/NL-HaNA_1.01.02_3821_0362.jpg/3354,1244,1060,2132/full/0/default.jpg", "iiif_url")</f>
        <v>iiif_url</v>
      </c>
      <c r="V36" t="s">
        <v>33</v>
      </c>
      <c r="W36" t="s">
        <v>192</v>
      </c>
      <c r="X36" t="str">
        <f>HYPERLINK("https://images.diginfra.net/framed3.html?imagesetuuid=d2997452-8788-4796-912c-2151f3b459f9&amp;uri=https://images.diginfra.net/iiif/NL-HaNA_1.01.02/3821/NL-HaNA_1.01.02_3821_0361.jpg", "prev_meeting_viewer_url")</f>
        <v>prev_meeting_viewer_url</v>
      </c>
      <c r="Y36" t="str">
        <f>HYPERLINK("https://images.diginfra.net/iiif/NL-HaNA_1.01.02/3821/NL-HaNA_1.01.02_3821_0361.jpg/1156,546,1104,2884/full/0/default.jpg", "prev_meeting_iiif_url")</f>
        <v>prev_meeting_iiif_url</v>
      </c>
      <c r="Z36" t="s">
        <v>33</v>
      </c>
      <c r="AA36" t="s">
        <v>193</v>
      </c>
      <c r="AB36" t="str">
        <f>HYPERLINK("https://images.diginfra.net/framed3.html?imagesetuuid=d2997452-8788-4796-912c-2151f3b459f9&amp;uri=https://images.diginfra.net/iiif/NL-HaNA_1.01.02/3821/NL-HaNA_1.01.02_3821_0363.jpg", "next_meeting_viewer_url")</f>
        <v>next_meeting_viewer_url</v>
      </c>
      <c r="AC36" t="str">
        <f>HYPERLINK("https://images.diginfra.net/iiif/NL-HaNA_1.01.02/3821/NL-HaNA_1.01.02_3821_0363.jpg/3324,1884,1059,1480/full/0/default.jpg", "next_meeting_iiif_url")</f>
        <v>next_meeting_iiif_url</v>
      </c>
    </row>
    <row r="37" spans="1:29" x14ac:dyDescent="0.2">
      <c r="A37" t="s">
        <v>194</v>
      </c>
      <c r="B37" t="s">
        <v>37</v>
      </c>
      <c r="C37" t="s">
        <v>195</v>
      </c>
      <c r="D37" t="b">
        <v>1</v>
      </c>
      <c r="E37" t="b">
        <v>1</v>
      </c>
      <c r="F37">
        <v>1</v>
      </c>
      <c r="I37" t="s">
        <v>196</v>
      </c>
      <c r="J37">
        <v>3783</v>
      </c>
      <c r="K37">
        <v>356</v>
      </c>
      <c r="L37">
        <v>3359</v>
      </c>
      <c r="M37">
        <v>341</v>
      </c>
      <c r="N37">
        <f t="shared" si="1"/>
        <v>712</v>
      </c>
      <c r="O37">
        <v>711</v>
      </c>
      <c r="P37">
        <v>1</v>
      </c>
      <c r="Q37">
        <v>0</v>
      </c>
      <c r="R37">
        <v>0</v>
      </c>
      <c r="S37" t="s">
        <v>33</v>
      </c>
      <c r="T37" t="str">
        <f>HYPERLINK("https://images.diginfra.net/framed3.html?imagesetuuid=67533019-4ca0-4b08-b87e-fd5590e7a077&amp;uri=https://images.diginfra.net/iiif/NL-HaNA_1.01.02/3783/NL-HaNA_1.01.02_3783_0356.jpg", "viewer_url")</f>
        <v>viewer_url</v>
      </c>
      <c r="U37" t="str">
        <f>HYPERLINK("https://images.diginfra.net/iiif/NL-HaNA_1.01.02/3783/NL-HaNA_1.01.02_3783_0356.jpg/3359,341,1111,3079/full/0/default.jpg", "iiif_url")</f>
        <v>iiif_url</v>
      </c>
      <c r="V37" t="s">
        <v>33</v>
      </c>
      <c r="W37" t="s">
        <v>197</v>
      </c>
      <c r="X37" t="str">
        <f>HYPERLINK("https://images.diginfra.net/framed3.html?imagesetuuid=67533019-4ca0-4b08-b87e-fd5590e7a077&amp;uri=https://images.diginfra.net/iiif/NL-HaNA_1.01.02/3783/NL-HaNA_1.01.02_3783_0355.jpg", "prev_meeting_viewer_url")</f>
        <v>prev_meeting_viewer_url</v>
      </c>
      <c r="Y37" t="str">
        <f>HYPERLINK("https://images.diginfra.net/iiif/NL-HaNA_1.01.02/3783/NL-HaNA_1.01.02_3783_0355.jpg/1255,2561,931,789/full/0/default.jpg", "prev_meeting_iiif_url")</f>
        <v>prev_meeting_iiif_url</v>
      </c>
      <c r="Z37" t="s">
        <v>33</v>
      </c>
      <c r="AA37" t="s">
        <v>198</v>
      </c>
      <c r="AB37" t="str">
        <f>HYPERLINK("https://images.diginfra.net/framed3.html?imagesetuuid=67533019-4ca0-4b08-b87e-fd5590e7a077&amp;uri=https://images.diginfra.net/iiif/NL-HaNA_1.01.02/3783/NL-HaNA_1.01.02_3783_0359.jpg", "next_meeting_viewer_url")</f>
        <v>next_meeting_viewer_url</v>
      </c>
      <c r="AC37" t="str">
        <f>HYPERLINK("https://images.diginfra.net/iiif/NL-HaNA_1.01.02/3783/NL-HaNA_1.01.02_3783_0359.jpg/266,1224,1098,2222/full/0/default.jpg", "next_meeting_iiif_url")</f>
        <v>next_meeting_iiif_url</v>
      </c>
    </row>
    <row r="38" spans="1:29" x14ac:dyDescent="0.2">
      <c r="A38" t="s">
        <v>199</v>
      </c>
      <c r="B38" t="s">
        <v>85</v>
      </c>
      <c r="C38" t="s">
        <v>200</v>
      </c>
      <c r="D38" t="b">
        <v>1</v>
      </c>
      <c r="E38" t="b">
        <v>1</v>
      </c>
      <c r="F38">
        <v>1</v>
      </c>
      <c r="I38" t="s">
        <v>201</v>
      </c>
      <c r="J38">
        <v>3792</v>
      </c>
      <c r="K38">
        <v>134</v>
      </c>
      <c r="L38">
        <v>2507</v>
      </c>
      <c r="M38">
        <v>574</v>
      </c>
      <c r="N38">
        <f t="shared" si="1"/>
        <v>268</v>
      </c>
      <c r="O38">
        <v>267</v>
      </c>
      <c r="P38">
        <v>0</v>
      </c>
      <c r="Q38">
        <v>1</v>
      </c>
      <c r="R38">
        <v>0</v>
      </c>
      <c r="S38" t="s">
        <v>33</v>
      </c>
      <c r="T38" t="str">
        <f>HYPERLINK("https://images.diginfra.net/framed3.html?imagesetuuid=507d79a4-2a42-4e84-afa5-a9ccb1e544fe&amp;uri=https://images.diginfra.net/iiif/NL-HaNA_1.01.02/3792/NL-HaNA_1.01.02_3792_0134.jpg", "viewer_url")</f>
        <v>viewer_url</v>
      </c>
      <c r="U38" t="str">
        <f>HYPERLINK("https://images.diginfra.net/iiif/NL-HaNA_1.01.02/3792/NL-HaNA_1.01.02_3792_0134.jpg/2507,574,1090,2894/full/0/default.jpg", "iiif_url")</f>
        <v>iiif_url</v>
      </c>
      <c r="V38" t="s">
        <v>33</v>
      </c>
      <c r="W38" t="s">
        <v>202</v>
      </c>
      <c r="X38" t="str">
        <f>HYPERLINK("https://images.diginfra.net/framed3.html?imagesetuuid=507d79a4-2a42-4e84-afa5-a9ccb1e544fe&amp;uri=https://images.diginfra.net/iiif/NL-HaNA_1.01.02/3792/NL-HaNA_1.01.02_3792_0134.jpg", "prev_meeting_viewer_url")</f>
        <v>prev_meeting_viewer_url</v>
      </c>
      <c r="Y38" t="str">
        <f>HYPERLINK("https://images.diginfra.net/iiif/NL-HaNA_1.01.02/3792/NL-HaNA_1.01.02_3792_0134.jpg/245,1921,1091,1517/full/0/default.jpg", "prev_meeting_iiif_url")</f>
        <v>prev_meeting_iiif_url</v>
      </c>
      <c r="Z38" t="s">
        <v>44</v>
      </c>
      <c r="AA38" t="s">
        <v>203</v>
      </c>
      <c r="AB38" t="str">
        <f>HYPERLINK("https://images.diginfra.net/framed3.html?imagesetuuid=507d79a4-2a42-4e84-afa5-a9ccb1e544fe&amp;uri=https://images.diginfra.net/iiif/NL-HaNA_1.01.02/3792/NL-HaNA_1.01.02_3792_0136.jpg", "next_meeting_viewer_url")</f>
        <v>next_meeting_viewer_url</v>
      </c>
      <c r="AC38" t="str">
        <f>HYPERLINK("https://images.diginfra.net/iiif/NL-HaNA_1.01.02/3792/NL-HaNA_1.01.02_3792_0136.jpg/269,1001,1092,2453/full/0/default.jpg", "next_meeting_iiif_url")</f>
        <v>next_meeting_iiif_url</v>
      </c>
    </row>
    <row r="39" spans="1:29" x14ac:dyDescent="0.2">
      <c r="A39" t="s">
        <v>204</v>
      </c>
      <c r="B39" t="s">
        <v>79</v>
      </c>
      <c r="C39" t="s">
        <v>205</v>
      </c>
      <c r="D39" t="b">
        <v>1</v>
      </c>
      <c r="E39" t="b">
        <v>1</v>
      </c>
      <c r="F39">
        <v>1</v>
      </c>
      <c r="I39" t="s">
        <v>206</v>
      </c>
      <c r="J39">
        <v>3767</v>
      </c>
      <c r="K39">
        <v>661</v>
      </c>
      <c r="L39">
        <v>253</v>
      </c>
      <c r="M39">
        <v>612</v>
      </c>
      <c r="N39">
        <f t="shared" si="1"/>
        <v>1322</v>
      </c>
      <c r="O39">
        <v>1320</v>
      </c>
      <c r="P39">
        <v>0</v>
      </c>
      <c r="Q39">
        <v>1</v>
      </c>
      <c r="R39">
        <v>0</v>
      </c>
      <c r="S39" t="s">
        <v>33</v>
      </c>
      <c r="T39" t="str">
        <f>HYPERLINK("https://images.diginfra.net/framed3.html?imagesetuuid=1dfc3e45-daeb-4e8d-b5c8-e02b6196102c&amp;uri=https://images.diginfra.net/iiif/NL-HaNA_1.01.02/3767/NL-HaNA_1.01.02_3767_0661.jpg", "viewer_url")</f>
        <v>viewer_url</v>
      </c>
      <c r="U39" t="str">
        <f>HYPERLINK("https://images.diginfra.net/iiif/NL-HaNA_1.01.02/3767/NL-HaNA_1.01.02_3767_0661.jpg/253,612,1136,2792/full/0/default.jpg", "iiif_url")</f>
        <v>iiif_url</v>
      </c>
      <c r="V39" t="s">
        <v>33</v>
      </c>
      <c r="W39" t="s">
        <v>207</v>
      </c>
      <c r="X39" t="str">
        <f>HYPERLINK("https://images.diginfra.net/framed3.html?imagesetuuid=1dfc3e45-daeb-4e8d-b5c8-e02b6196102c&amp;uri=https://images.diginfra.net/iiif/NL-HaNA_1.01.02/3767/NL-HaNA_1.01.02_3767_0658.jpg", "prev_meeting_viewer_url")</f>
        <v>prev_meeting_viewer_url</v>
      </c>
      <c r="Y39" t="str">
        <f>HYPERLINK("https://images.diginfra.net/iiif/NL-HaNA_1.01.02/3767/NL-HaNA_1.01.02_3767_0658.jpg/258,797,1114,2605/full/0/default.jpg", "prev_meeting_iiif_url")</f>
        <v>prev_meeting_iiif_url</v>
      </c>
      <c r="Z39" t="s">
        <v>33</v>
      </c>
      <c r="AA39" t="s">
        <v>208</v>
      </c>
      <c r="AB39" t="str">
        <f>HYPERLINK("https://images.diginfra.net/framed3.html?imagesetuuid=1dfc3e45-daeb-4e8d-b5c8-e02b6196102c&amp;uri=https://images.diginfra.net/iiif/NL-HaNA_1.01.02/3767/NL-HaNA_1.01.02_3767_0662.jpg", "next_meeting_viewer_url")</f>
        <v>next_meeting_viewer_url</v>
      </c>
      <c r="AC39" t="str">
        <f>HYPERLINK("https://images.diginfra.net/iiif/NL-HaNA_1.01.02/3767/NL-HaNA_1.01.02_3767_0662.jpg/3433,2462,1047,948/full/0/default.jpg", "next_meeting_iiif_url")</f>
        <v>next_meeting_iiif_url</v>
      </c>
    </row>
    <row r="40" spans="1:29" x14ac:dyDescent="0.2">
      <c r="A40" t="s">
        <v>209</v>
      </c>
      <c r="B40" t="s">
        <v>37</v>
      </c>
      <c r="C40" t="s">
        <v>89</v>
      </c>
      <c r="D40" t="b">
        <v>1</v>
      </c>
      <c r="E40" t="b">
        <v>1</v>
      </c>
      <c r="F40">
        <v>1</v>
      </c>
      <c r="I40" t="s">
        <v>210</v>
      </c>
      <c r="J40">
        <v>3819</v>
      </c>
      <c r="K40">
        <v>382</v>
      </c>
      <c r="L40">
        <v>2449</v>
      </c>
      <c r="M40">
        <v>907</v>
      </c>
      <c r="N40">
        <f t="shared" si="1"/>
        <v>764</v>
      </c>
      <c r="O40">
        <v>763</v>
      </c>
      <c r="P40">
        <v>0</v>
      </c>
      <c r="Q40">
        <v>1</v>
      </c>
      <c r="R40">
        <v>0</v>
      </c>
      <c r="S40" t="s">
        <v>33</v>
      </c>
      <c r="T40" t="str">
        <f>HYPERLINK("https://images.diginfra.net/framed3.html?imagesetuuid=711b4f86-3dbd-47ca-af9d-52eb1c30bc58&amp;uri=https://images.diginfra.net/iiif/NL-HaNA_1.01.02/3819/NL-HaNA_1.01.02_3819_0382.jpg", "viewer_url")</f>
        <v>viewer_url</v>
      </c>
      <c r="U40" t="str">
        <f>HYPERLINK("https://images.diginfra.net/iiif/NL-HaNA_1.01.02/3819/NL-HaNA_1.01.02_3819_0382.jpg/2449,907,1101,2405/full/0/default.jpg", "iiif_url")</f>
        <v>iiif_url</v>
      </c>
      <c r="V40" t="s">
        <v>33</v>
      </c>
      <c r="W40" t="s">
        <v>211</v>
      </c>
      <c r="X40" t="str">
        <f>HYPERLINK("https://images.diginfra.net/framed3.html?imagesetuuid=711b4f86-3dbd-47ca-af9d-52eb1c30bc58&amp;uri=https://images.diginfra.net/iiif/NL-HaNA_1.01.02/3819/NL-HaNA_1.01.02_3819_0380.jpg", "prev_meeting_viewer_url")</f>
        <v>prev_meeting_viewer_url</v>
      </c>
      <c r="Y40" t="str">
        <f>HYPERLINK("https://images.diginfra.net/iiif/NL-HaNA_1.01.02/3819/NL-HaNA_1.01.02_3819_0380.jpg/3340,1401,1110,1920/full/0/default.jpg", "prev_meeting_iiif_url")</f>
        <v>prev_meeting_iiif_url</v>
      </c>
      <c r="Z40" t="s">
        <v>33</v>
      </c>
      <c r="AA40" t="s">
        <v>212</v>
      </c>
      <c r="AB40" t="str">
        <f>HYPERLINK("https://images.diginfra.net/framed3.html?imagesetuuid=711b4f86-3dbd-47ca-af9d-52eb1c30bc58&amp;uri=https://images.diginfra.net/iiif/NL-HaNA_1.01.02/3819/NL-HaNA_1.01.02_3819_0383.jpg", "next_meeting_viewer_url")</f>
        <v>next_meeting_viewer_url</v>
      </c>
      <c r="AC40" t="str">
        <f>HYPERLINK("https://images.diginfra.net/iiif/NL-HaNA_1.01.02/3819/NL-HaNA_1.01.02_3819_0383.jpg/1243,1771,1053,1528/full/0/default.jpg", "next_meeting_iiif_url")</f>
        <v>next_meeting_iiif_url</v>
      </c>
    </row>
    <row r="41" spans="1:29" x14ac:dyDescent="0.2">
      <c r="A41" t="s">
        <v>213</v>
      </c>
      <c r="B41" t="s">
        <v>85</v>
      </c>
      <c r="C41" t="s">
        <v>214</v>
      </c>
      <c r="D41" t="b">
        <v>1</v>
      </c>
      <c r="E41" t="b">
        <v>1</v>
      </c>
      <c r="F41">
        <v>1</v>
      </c>
      <c r="I41" t="s">
        <v>215</v>
      </c>
      <c r="J41">
        <v>3823</v>
      </c>
      <c r="K41">
        <v>107</v>
      </c>
      <c r="L41">
        <v>259</v>
      </c>
      <c r="M41">
        <v>1193</v>
      </c>
      <c r="N41">
        <f t="shared" si="1"/>
        <v>214</v>
      </c>
      <c r="O41">
        <v>212</v>
      </c>
      <c r="P41">
        <v>0</v>
      </c>
      <c r="Q41">
        <v>1</v>
      </c>
      <c r="R41">
        <v>0</v>
      </c>
      <c r="S41" t="s">
        <v>33</v>
      </c>
      <c r="T41" t="str">
        <f>HYPERLINK("https://images.diginfra.net/framed3.html?imagesetuuid=08f55768-66d4-4560-816c-70f4ea910842&amp;uri=https://images.diginfra.net/iiif/NL-HaNA_1.01.02/3823/NL-HaNA_1.01.02_3823_0107.jpg", "viewer_url")</f>
        <v>viewer_url</v>
      </c>
      <c r="U41" t="str">
        <f>HYPERLINK("https://images.diginfra.net/iiif/NL-HaNA_1.01.02/3823/NL-HaNA_1.01.02_3823_0107.jpg/259,1193,1071,2144/full/0/default.jpg", "iiif_url")</f>
        <v>iiif_url</v>
      </c>
      <c r="V41" t="s">
        <v>33</v>
      </c>
      <c r="W41" t="s">
        <v>216</v>
      </c>
      <c r="X41" t="str">
        <f>HYPERLINK("https://images.diginfra.net/framed3.html?imagesetuuid=08f55768-66d4-4560-816c-70f4ea910842&amp;uri=https://images.diginfra.net/iiif/NL-HaNA_1.01.02/3823/NL-HaNA_1.01.02_3823_0106.jpg", "prev_meeting_viewer_url")</f>
        <v>prev_meeting_viewer_url</v>
      </c>
      <c r="Y41" t="str">
        <f>HYPERLINK("https://images.diginfra.net/iiif/NL-HaNA_1.01.02/3823/NL-HaNA_1.01.02_3823_0106.jpg/261,1392,1068,2020/full/0/default.jpg", "prev_meeting_iiif_url")</f>
        <v>prev_meeting_iiif_url</v>
      </c>
      <c r="Z41" t="s">
        <v>33</v>
      </c>
      <c r="AA41" t="s">
        <v>217</v>
      </c>
      <c r="AB41" t="str">
        <f>HYPERLINK("https://images.diginfra.net/framed3.html?imagesetuuid=08f55768-66d4-4560-816c-70f4ea910842&amp;uri=https://images.diginfra.net/iiif/NL-HaNA_1.01.02/3823/NL-HaNA_1.01.02_3823_0107.jpg", "next_meeting_viewer_url")</f>
        <v>next_meeting_viewer_url</v>
      </c>
      <c r="AC41" t="str">
        <f>HYPERLINK("https://images.diginfra.net/iiif/NL-HaNA_1.01.02/3823/NL-HaNA_1.01.02_3823_0107.jpg/3278,518,1071,2796/full/0/default.jpg", "next_meeting_iiif_url")</f>
        <v>next_meeting_iiif_url</v>
      </c>
    </row>
    <row r="42" spans="1:29" x14ac:dyDescent="0.2">
      <c r="A42" t="s">
        <v>218</v>
      </c>
      <c r="B42" t="s">
        <v>59</v>
      </c>
      <c r="C42" t="s">
        <v>219</v>
      </c>
      <c r="D42" t="b">
        <v>1</v>
      </c>
      <c r="E42" t="b">
        <v>1</v>
      </c>
      <c r="F42">
        <v>1</v>
      </c>
      <c r="I42" t="s">
        <v>220</v>
      </c>
      <c r="J42">
        <v>3775</v>
      </c>
      <c r="K42">
        <v>230</v>
      </c>
      <c r="L42">
        <v>1198</v>
      </c>
      <c r="M42">
        <v>1823</v>
      </c>
      <c r="N42">
        <f t="shared" si="1"/>
        <v>460</v>
      </c>
      <c r="O42">
        <v>458</v>
      </c>
      <c r="P42">
        <v>1</v>
      </c>
      <c r="Q42">
        <v>3</v>
      </c>
      <c r="R42">
        <v>0</v>
      </c>
      <c r="S42" t="s">
        <v>33</v>
      </c>
      <c r="T42" t="str">
        <f>HYPERLINK("https://images.diginfra.net/framed3.html?imagesetuuid=e344f420-8808-4cb9-bb8a-07944ccb8c18&amp;uri=https://images.diginfra.net/iiif/NL-HaNA_1.01.02/3775/NL-HaNA_1.01.02_3775_0230.jpg", "viewer_url")</f>
        <v>viewer_url</v>
      </c>
      <c r="U42" t="str">
        <f>HYPERLINK("https://images.diginfra.net/iiif/NL-HaNA_1.01.02/3775/NL-HaNA_1.01.02_3775_0230.jpg/1198,1823,1035,1505/full/0/default.jpg", "iiif_url")</f>
        <v>iiif_url</v>
      </c>
      <c r="V42" t="s">
        <v>33</v>
      </c>
      <c r="W42" t="s">
        <v>221</v>
      </c>
      <c r="X42" t="str">
        <f>HYPERLINK("https://images.diginfra.net/framed3.html?imagesetuuid=e344f420-8808-4cb9-bb8a-07944ccb8c18&amp;uri=https://images.diginfra.net/iiif/NL-HaNA_1.01.02/3775/NL-HaNA_1.01.02_3775_0228.jpg", "prev_meeting_viewer_url")</f>
        <v>prev_meeting_viewer_url</v>
      </c>
      <c r="Y42" t="str">
        <f>HYPERLINK("https://images.diginfra.net/iiif/NL-HaNA_1.01.02/3775/NL-HaNA_1.01.02_3775_0228.jpg/209,1130,1108,2254/full/0/default.jpg", "prev_meeting_iiif_url")</f>
        <v>prev_meeting_iiif_url</v>
      </c>
      <c r="Z42" t="s">
        <v>33</v>
      </c>
      <c r="AA42" t="s">
        <v>222</v>
      </c>
      <c r="AB42" t="str">
        <f>HYPERLINK("https://images.diginfra.net/framed3.html?imagesetuuid=e344f420-8808-4cb9-bb8a-07944ccb8c18&amp;uri=https://images.diginfra.net/iiif/NL-HaNA_1.01.02/3775/NL-HaNA_1.01.02_3775_0232.jpg", "next_meeting_viewer_url")</f>
        <v>next_meeting_viewer_url</v>
      </c>
      <c r="AC42" t="str">
        <f>HYPERLINK("https://images.diginfra.net/iiif/NL-HaNA_1.01.02/3775/NL-HaNA_1.01.02_3775_0232.jpg/3124,313,1118,3066/full/0/default.jpg", "next_meeting_iiif_url")</f>
        <v>next_meeting_iiif_url</v>
      </c>
    </row>
    <row r="43" spans="1:29" x14ac:dyDescent="0.2">
      <c r="A43" t="s">
        <v>223</v>
      </c>
      <c r="B43" t="s">
        <v>37</v>
      </c>
      <c r="C43" t="s">
        <v>224</v>
      </c>
      <c r="D43" t="b">
        <v>1</v>
      </c>
      <c r="E43" t="b">
        <v>1</v>
      </c>
      <c r="F43">
        <v>1</v>
      </c>
      <c r="I43" t="s">
        <v>225</v>
      </c>
      <c r="J43">
        <v>3783</v>
      </c>
      <c r="K43">
        <v>346</v>
      </c>
      <c r="L43">
        <v>3326</v>
      </c>
      <c r="M43">
        <v>1785</v>
      </c>
      <c r="N43">
        <f t="shared" si="1"/>
        <v>692</v>
      </c>
      <c r="O43">
        <v>691</v>
      </c>
      <c r="P43">
        <v>1</v>
      </c>
      <c r="Q43">
        <v>3</v>
      </c>
      <c r="R43">
        <v>0</v>
      </c>
      <c r="S43" t="s">
        <v>33</v>
      </c>
      <c r="T43" t="str">
        <f>HYPERLINK("https://images.diginfra.net/framed3.html?imagesetuuid=67533019-4ca0-4b08-b87e-fd5590e7a077&amp;uri=https://images.diginfra.net/iiif/NL-HaNA_1.01.02/3783/NL-HaNA_1.01.02_3783_0346.jpg", "viewer_url")</f>
        <v>viewer_url</v>
      </c>
      <c r="U43" t="str">
        <f>HYPERLINK("https://images.diginfra.net/iiif/NL-HaNA_1.01.02/3783/NL-HaNA_1.01.02_3783_0346.jpg/3326,1785,1086,1667/full/0/default.jpg", "iiif_url")</f>
        <v>iiif_url</v>
      </c>
      <c r="V43" t="s">
        <v>33</v>
      </c>
      <c r="W43" t="s">
        <v>226</v>
      </c>
      <c r="X43" t="str">
        <f>HYPERLINK("https://images.diginfra.net/framed3.html?imagesetuuid=67533019-4ca0-4b08-b87e-fd5590e7a077&amp;uri=https://images.diginfra.net/iiif/NL-HaNA_1.01.02/3783/NL-HaNA_1.01.02_3783_0344.jpg", "prev_meeting_viewer_url")</f>
        <v>prev_meeting_viewer_url</v>
      </c>
      <c r="Y43" t="str">
        <f>HYPERLINK("https://images.diginfra.net/iiif/NL-HaNA_1.01.02/3783/NL-HaNA_1.01.02_3783_0344.jpg/3362,1499,1095,1928/full/0/default.jpg", "prev_meeting_iiif_url")</f>
        <v>prev_meeting_iiif_url</v>
      </c>
      <c r="Z43" t="s">
        <v>33</v>
      </c>
      <c r="AA43" t="s">
        <v>227</v>
      </c>
      <c r="AB43" t="str">
        <f>HYPERLINK("https://images.diginfra.net/framed3.html?imagesetuuid=67533019-4ca0-4b08-b87e-fd5590e7a077&amp;uri=https://images.diginfra.net/iiif/NL-HaNA_1.01.02/3783/NL-HaNA_1.01.02_3783_0348.jpg", "next_meeting_viewer_url")</f>
        <v>next_meeting_viewer_url</v>
      </c>
      <c r="AC43" t="str">
        <f>HYPERLINK("https://images.diginfra.net/iiif/NL-HaNA_1.01.02/3783/NL-HaNA_1.01.02_3783_0348.jpg/3337,1178,1097,2249/full/0/default.jpg", "next_meeting_iiif_url")</f>
        <v>next_meeting_iiif_url</v>
      </c>
    </row>
    <row r="44" spans="1:29" x14ac:dyDescent="0.2">
      <c r="A44" t="s">
        <v>228</v>
      </c>
      <c r="B44" t="s">
        <v>48</v>
      </c>
      <c r="C44" t="s">
        <v>229</v>
      </c>
      <c r="D44" t="b">
        <v>1</v>
      </c>
      <c r="E44" t="b">
        <v>1</v>
      </c>
      <c r="F44">
        <v>1</v>
      </c>
      <c r="I44" t="s">
        <v>230</v>
      </c>
      <c r="J44">
        <v>3809</v>
      </c>
      <c r="K44">
        <v>83</v>
      </c>
      <c r="L44">
        <v>353</v>
      </c>
      <c r="M44">
        <v>1729</v>
      </c>
      <c r="N44">
        <f t="shared" si="1"/>
        <v>166</v>
      </c>
      <c r="O44">
        <v>164</v>
      </c>
      <c r="P44">
        <v>1</v>
      </c>
      <c r="Q44">
        <v>1</v>
      </c>
      <c r="R44">
        <v>0</v>
      </c>
      <c r="S44" t="s">
        <v>44</v>
      </c>
      <c r="T44" t="str">
        <f>HYPERLINK("https://images.diginfra.net/framed3.html?imagesetuuid=a1722cc0-6172-4f06-b30b-cbaf0702bf4b&amp;uri=https://images.diginfra.net/iiif/NL-HaNA_1.01.02/3809/NL-HaNA_1.01.02_3809_0083.jpg", "viewer_url")</f>
        <v>viewer_url</v>
      </c>
      <c r="U44" t="str">
        <f>HYPERLINK("https://images.diginfra.net/iiif/NL-HaNA_1.01.02/3809/NL-HaNA_1.01.02_3809_0083.jpg/353,1729,1047,1642/full/0/default.jpg", "iiif_url")</f>
        <v>iiif_url</v>
      </c>
      <c r="V44" t="s">
        <v>33</v>
      </c>
      <c r="W44" t="s">
        <v>231</v>
      </c>
      <c r="X44" t="str">
        <f>HYPERLINK("https://images.diginfra.net/framed3.html?imagesetuuid=a1722cc0-6172-4f06-b30b-cbaf0702bf4b&amp;uri=https://images.diginfra.net/iiif/NL-HaNA_1.01.02/3809/NL-HaNA_1.01.02_3809_0081.jpg", "prev_meeting_viewer_url")</f>
        <v>prev_meeting_viewer_url</v>
      </c>
      <c r="Y44" t="str">
        <f>HYPERLINK("https://images.diginfra.net/iiif/NL-HaNA_1.01.02/3809/NL-HaNA_1.01.02_3809_0081.jpg/3454,1924,1049,1434/full/0/default.jpg", "prev_meeting_iiif_url")</f>
        <v>prev_meeting_iiif_url</v>
      </c>
    </row>
    <row r="45" spans="1:29" x14ac:dyDescent="0.2">
      <c r="A45" t="s">
        <v>232</v>
      </c>
      <c r="B45" t="s">
        <v>37</v>
      </c>
      <c r="C45" t="s">
        <v>233</v>
      </c>
      <c r="D45" t="b">
        <v>1</v>
      </c>
      <c r="E45" t="b">
        <v>1</v>
      </c>
      <c r="F45">
        <v>1</v>
      </c>
      <c r="I45" t="s">
        <v>234</v>
      </c>
      <c r="J45">
        <v>3771</v>
      </c>
      <c r="K45">
        <v>448</v>
      </c>
      <c r="L45">
        <v>1208</v>
      </c>
      <c r="M45">
        <v>2958</v>
      </c>
      <c r="N45">
        <f t="shared" si="1"/>
        <v>896</v>
      </c>
      <c r="O45">
        <v>894</v>
      </c>
      <c r="P45">
        <v>1</v>
      </c>
      <c r="Q45">
        <v>3</v>
      </c>
      <c r="R45">
        <v>0</v>
      </c>
      <c r="S45" t="s">
        <v>33</v>
      </c>
      <c r="T45" t="str">
        <f>HYPERLINK("https://images.diginfra.net/framed3.html?imagesetuuid=16b7bf4c-5e05-4e5e-b109-cf178ead6c3f&amp;uri=https://images.diginfra.net/iiif/NL-HaNA_1.01.02/3771/NL-HaNA_1.01.02_3771_0448.jpg", "viewer_url")</f>
        <v>viewer_url</v>
      </c>
      <c r="U45" t="str">
        <f>HYPERLINK("https://images.diginfra.net/iiif/NL-HaNA_1.01.02/3771/NL-HaNA_1.01.02_3771_0448.jpg/1208,2958,1045,515/full/0/default.jpg", "iiif_url")</f>
        <v>iiif_url</v>
      </c>
      <c r="V45" t="s">
        <v>33</v>
      </c>
      <c r="W45" t="s">
        <v>235</v>
      </c>
      <c r="X45" t="str">
        <f>HYPERLINK("https://images.diginfra.net/framed3.html?imagesetuuid=16b7bf4c-5e05-4e5e-b109-cf178ead6c3f&amp;uri=https://images.diginfra.net/iiif/NL-HaNA_1.01.02/3771/NL-HaNA_1.01.02_3771_0445.jpg", "prev_meeting_viewer_url")</f>
        <v>prev_meeting_viewer_url</v>
      </c>
      <c r="Y45" t="str">
        <f>HYPERLINK("https://images.diginfra.net/iiif/NL-HaNA_1.01.02/3771/NL-HaNA_1.01.02_3771_0445.jpg/3436,1077,1097,2400/full/0/default.jpg", "prev_meeting_iiif_url")</f>
        <v>prev_meeting_iiif_url</v>
      </c>
      <c r="Z45" t="s">
        <v>33</v>
      </c>
      <c r="AA45" t="s">
        <v>236</v>
      </c>
      <c r="AB45" t="str">
        <f>HYPERLINK("https://images.diginfra.net/framed3.html?imagesetuuid=16b7bf4c-5e05-4e5e-b109-cf178ead6c3f&amp;uri=https://images.diginfra.net/iiif/NL-HaNA_1.01.02/3771/NL-HaNA_1.01.02_3771_0450.jpg", "next_meeting_viewer_url")</f>
        <v>next_meeting_viewer_url</v>
      </c>
      <c r="AC45" t="str">
        <f>HYPERLINK("https://images.diginfra.net/iiif/NL-HaNA_1.01.02/3771/NL-HaNA_1.01.02_3771_0450.jpg/255,2524,1029,805/full/0/default.jpg", "next_meeting_iiif_url")</f>
        <v>next_meeting_iiif_url</v>
      </c>
    </row>
    <row r="46" spans="1:29" x14ac:dyDescent="0.2">
      <c r="A46" t="s">
        <v>237</v>
      </c>
      <c r="B46" t="s">
        <v>63</v>
      </c>
      <c r="D46" t="b">
        <v>0</v>
      </c>
      <c r="E46" t="b">
        <v>0</v>
      </c>
      <c r="F46">
        <v>1</v>
      </c>
      <c r="N46">
        <f t="shared" si="1"/>
        <v>0</v>
      </c>
      <c r="T46" t="str">
        <f>HYPERLINK("None", "viewer_url")</f>
        <v>viewer_url</v>
      </c>
      <c r="U46" t="str">
        <f>HYPERLINK("None", "iiif_url")</f>
        <v>iiif_url</v>
      </c>
      <c r="V46" t="s">
        <v>33</v>
      </c>
      <c r="W46" t="s">
        <v>238</v>
      </c>
      <c r="X46" t="str">
        <f>HYPERLINK("https://images.diginfra.net/framed3.html?imagesetuuid=02516f87-475f-4001-a332-8d96f5aecb93&amp;uri=https://images.diginfra.net/iiif/NL-HaNA_1.01.02/3797/NL-HaNA_1.01.02_3797_0262.jpg", "prev_meeting_viewer_url")</f>
        <v>prev_meeting_viewer_url</v>
      </c>
      <c r="Y46" t="str">
        <f>HYPERLINK("https://images.diginfra.net/iiif/NL-HaNA_1.01.02/3797/NL-HaNA_1.01.02_3797_0262.jpg/3404,1966,1111,1372/full/0/default.jpg", "prev_meeting_iiif_url")</f>
        <v>prev_meeting_iiif_url</v>
      </c>
      <c r="Z46" t="s">
        <v>33</v>
      </c>
      <c r="AA46" t="s">
        <v>239</v>
      </c>
      <c r="AB46" t="str">
        <f>HYPERLINK("https://images.diginfra.net/framed3.html?imagesetuuid=02516f87-475f-4001-a332-8d96f5aecb93&amp;uri=https://images.diginfra.net/iiif/NL-HaNA_1.01.02/3797/NL-HaNA_1.01.02_3797_0265.jpg", "next_meeting_viewer_url")</f>
        <v>next_meeting_viewer_url</v>
      </c>
      <c r="AC46" t="str">
        <f>HYPERLINK("https://images.diginfra.net/iiif/NL-HaNA_1.01.02/3797/NL-HaNA_1.01.02_3797_0265.jpg/2576,1597,1039,1749/full/0/default.jpg", "next_meeting_iiif_url")</f>
        <v>next_meeting_iiif_url</v>
      </c>
    </row>
    <row r="47" spans="1:29" x14ac:dyDescent="0.2">
      <c r="A47" t="s">
        <v>240</v>
      </c>
      <c r="B47" t="s">
        <v>37</v>
      </c>
      <c r="D47" t="b">
        <v>1</v>
      </c>
      <c r="E47" t="b">
        <v>1</v>
      </c>
      <c r="F47">
        <v>1</v>
      </c>
      <c r="J47">
        <v>3771</v>
      </c>
      <c r="K47">
        <v>529</v>
      </c>
      <c r="L47">
        <v>3559</v>
      </c>
      <c r="M47">
        <v>2153</v>
      </c>
      <c r="N47">
        <f t="shared" si="1"/>
        <v>1058</v>
      </c>
      <c r="O47">
        <v>1057</v>
      </c>
      <c r="P47">
        <v>1</v>
      </c>
      <c r="T47" t="str">
        <f>HYPERLINK("None", "viewer_url")</f>
        <v>viewer_url</v>
      </c>
      <c r="U47" t="str">
        <f>HYPERLINK("https://images.diginfra.net/iiif/NL-HaNA_1.01.02/3771/NL-HaNA_1.01.02_3771_0529.jpg/3559,2153,901,1239/full/0/default.jpg", "iiif_url")</f>
        <v>iiif_url</v>
      </c>
      <c r="V47" t="s">
        <v>44</v>
      </c>
      <c r="X47" t="str">
        <f>HYPERLINK("https://images.diginfra.net/framed3.html?imagesetuuid=16b7bf4c-5e05-4e5e-b109-cf178ead6c3f&amp;uri=https://images.diginfra.net/iiif/NL-HaNA_1.01.02/3771/NL-HaNA_1.01.02_3771_0528.jpg", "prev_meeting_viewer_url")</f>
        <v>prev_meeting_viewer_url</v>
      </c>
      <c r="Y47" t="str">
        <f>HYPERLINK("https://images.diginfra.net/iiif/NL-HaNA_1.01.02/3771/NL-HaNA_1.01.02_3771_0528.jpg/2495,391,1108,3055/full/0/default.jpg", "prev_meeting_iiif_url")</f>
        <v>prev_meeting_iiif_url</v>
      </c>
      <c r="Z47" t="s">
        <v>33</v>
      </c>
      <c r="AA47" t="s">
        <v>241</v>
      </c>
      <c r="AB47" t="str">
        <f>HYPERLINK("https://images.diginfra.net/framed3.html?imagesetuuid=16b7bf4c-5e05-4e5e-b109-cf178ead6c3f&amp;uri=https://images.diginfra.net/iiif/NL-HaNA_1.01.02/3771/NL-HaNA_1.01.02_3771_0530.jpg", "next_meeting_viewer_url")</f>
        <v>next_meeting_viewer_url</v>
      </c>
      <c r="AC47" t="str">
        <f>HYPERLINK("https://images.diginfra.net/iiif/NL-HaNA_1.01.02/3771/NL-HaNA_1.01.02_3771_0530.jpg/2522,2527,1046,904/full/0/default.jpg", "next_meeting_iiif_url")</f>
        <v>next_meeting_iiif_url</v>
      </c>
    </row>
    <row r="48" spans="1:29" x14ac:dyDescent="0.2">
      <c r="A48" t="s">
        <v>242</v>
      </c>
      <c r="B48" t="s">
        <v>37</v>
      </c>
      <c r="C48" t="s">
        <v>243</v>
      </c>
      <c r="D48" t="b">
        <v>1</v>
      </c>
      <c r="E48" t="b">
        <v>1</v>
      </c>
      <c r="F48">
        <v>1</v>
      </c>
      <c r="I48" t="s">
        <v>244</v>
      </c>
      <c r="J48">
        <v>3828</v>
      </c>
      <c r="K48">
        <v>391</v>
      </c>
      <c r="L48">
        <v>3318</v>
      </c>
      <c r="M48">
        <v>797</v>
      </c>
      <c r="N48">
        <f t="shared" si="1"/>
        <v>782</v>
      </c>
      <c r="O48">
        <v>781</v>
      </c>
      <c r="P48">
        <v>1</v>
      </c>
      <c r="Q48">
        <v>1</v>
      </c>
      <c r="R48">
        <v>0</v>
      </c>
      <c r="S48" t="s">
        <v>33</v>
      </c>
      <c r="T48" t="str">
        <f>HYPERLINK("https://images.diginfra.net/framed3.html?imagesetuuid=be73aab8-e683-41ef-8f90-2432e0a35eb8&amp;uri=https://images.diginfra.net/iiif/NL-HaNA_1.01.02/3828/NL-HaNA_1.01.02_3828_0391.jpg", "viewer_url")</f>
        <v>viewer_url</v>
      </c>
      <c r="U48" t="str">
        <f>HYPERLINK("https://images.diginfra.net/iiif/NL-HaNA_1.01.02/3828/NL-HaNA_1.01.02_3828_0391.jpg/3318,797,1073,2528/full/0/default.jpg", "iiif_url")</f>
        <v>iiif_url</v>
      </c>
      <c r="V48" t="s">
        <v>33</v>
      </c>
      <c r="X48" t="str">
        <f>HYPERLINK("https://images.diginfra.net/framed3.html?imagesetuuid=be73aab8-e683-41ef-8f90-2432e0a35eb8&amp;uri=https://images.diginfra.net/iiif/NL-HaNA_1.01.02/3828/NL-HaNA_1.01.02_3828_0390.jpg", "prev_meeting_viewer_url")</f>
        <v>prev_meeting_viewer_url</v>
      </c>
      <c r="Y48" t="str">
        <f>HYPERLINK("https://images.diginfra.net/iiif/NL-HaNA_1.01.02/3828/NL-HaNA_1.01.02_3828_0390.jpg/2380,315,1067,2998/full/0/default.jpg", "prev_meeting_iiif_url")</f>
        <v>prev_meeting_iiif_url</v>
      </c>
      <c r="Z48" t="s">
        <v>33</v>
      </c>
      <c r="AA48" t="s">
        <v>245</v>
      </c>
      <c r="AB48" t="str">
        <f>HYPERLINK("https://images.diginfra.net/framed3.html?imagesetuuid=be73aab8-e683-41ef-8f90-2432e0a35eb8&amp;uri=https://images.diginfra.net/iiif/NL-HaNA_1.01.02/3828/NL-HaNA_1.01.02_3828_0394.jpg", "next_meeting_viewer_url")</f>
        <v>next_meeting_viewer_url</v>
      </c>
      <c r="AC48" t="str">
        <f>HYPERLINK("https://images.diginfra.net/iiif/NL-HaNA_1.01.02/3828/NL-HaNA_1.01.02_3828_0394.jpg/422,2661,808,581/full/0/default.jpg", "next_meeting_iiif_url")</f>
        <v>next_meeting_iiif_url</v>
      </c>
    </row>
    <row r="49" spans="1:29" x14ac:dyDescent="0.2">
      <c r="A49" t="s">
        <v>246</v>
      </c>
      <c r="B49" t="s">
        <v>30</v>
      </c>
      <c r="C49" t="s">
        <v>247</v>
      </c>
      <c r="D49" t="b">
        <v>1</v>
      </c>
      <c r="E49" t="b">
        <v>1</v>
      </c>
      <c r="F49">
        <v>1</v>
      </c>
      <c r="I49" t="s">
        <v>248</v>
      </c>
      <c r="J49">
        <v>3770</v>
      </c>
      <c r="K49">
        <v>129</v>
      </c>
      <c r="L49">
        <v>3392</v>
      </c>
      <c r="M49">
        <v>285</v>
      </c>
      <c r="N49">
        <f t="shared" si="1"/>
        <v>258</v>
      </c>
      <c r="O49">
        <v>257</v>
      </c>
      <c r="P49">
        <v>1</v>
      </c>
      <c r="Q49">
        <v>0</v>
      </c>
      <c r="R49">
        <v>0</v>
      </c>
      <c r="S49" t="s">
        <v>33</v>
      </c>
      <c r="T49" t="str">
        <f>HYPERLINK("https://images.diginfra.net/framed3.html?imagesetuuid=ee423b29-ca44-4ac9-bc3a-01422a0a6240&amp;uri=https://images.diginfra.net/iiif/NL-HaNA_1.01.02/3770/NL-HaNA_1.01.02_3770_0129.jpg", "viewer_url")</f>
        <v>viewer_url</v>
      </c>
      <c r="U49" t="str">
        <f>HYPERLINK("https://images.diginfra.net/iiif/NL-HaNA_1.01.02/3770/NL-HaNA_1.01.02_3770_0129.jpg/3392,285,1102,3120/full/0/default.jpg", "iiif_url")</f>
        <v>iiif_url</v>
      </c>
      <c r="V49" t="s">
        <v>33</v>
      </c>
      <c r="W49" t="s">
        <v>249</v>
      </c>
      <c r="X49" t="str">
        <f>HYPERLINK("https://images.diginfra.net/framed3.html?imagesetuuid=ee423b29-ca44-4ac9-bc3a-01422a0a6240&amp;uri=https://images.diginfra.net/iiif/NL-HaNA_1.01.02/3770/NL-HaNA_1.01.02_3770_0127.jpg", "prev_meeting_viewer_url")</f>
        <v>prev_meeting_viewer_url</v>
      </c>
      <c r="Y49" t="str">
        <f>HYPERLINK("https://images.diginfra.net/iiif/NL-HaNA_1.01.02/3770/NL-HaNA_1.01.02_3770_0127.jpg/3351,1695,1110,1727/full/0/default.jpg", "prev_meeting_iiif_url")</f>
        <v>prev_meeting_iiif_url</v>
      </c>
      <c r="Z49" t="s">
        <v>33</v>
      </c>
      <c r="AA49" t="s">
        <v>250</v>
      </c>
      <c r="AB49" t="str">
        <f>HYPERLINK("https://images.diginfra.net/framed3.html?imagesetuuid=ee423b29-ca44-4ac9-bc3a-01422a0a6240&amp;uri=https://images.diginfra.net/iiif/NL-HaNA_1.01.02/3770/NL-HaNA_1.01.02_3770_0131.jpg", "next_meeting_viewer_url")</f>
        <v>next_meeting_viewer_url</v>
      </c>
      <c r="AC49" t="str">
        <f>HYPERLINK("https://images.diginfra.net/iiif/NL-HaNA_1.01.02/3770/NL-HaNA_1.01.02_3770_0131.jpg/3420,2261,1028,1186/full/0/default.jpg", "next_meeting_iiif_url")</f>
        <v>next_meeting_iiif_url</v>
      </c>
    </row>
    <row r="50" spans="1:29" x14ac:dyDescent="0.2">
      <c r="A50" t="s">
        <v>251</v>
      </c>
      <c r="B50" t="s">
        <v>79</v>
      </c>
      <c r="C50" t="s">
        <v>252</v>
      </c>
      <c r="D50" t="b">
        <v>1</v>
      </c>
      <c r="E50" t="b">
        <v>1</v>
      </c>
      <c r="F50">
        <v>1</v>
      </c>
      <c r="I50" t="s">
        <v>253</v>
      </c>
      <c r="J50">
        <v>3776</v>
      </c>
      <c r="K50">
        <v>255</v>
      </c>
      <c r="L50">
        <v>3487</v>
      </c>
      <c r="M50">
        <v>2960</v>
      </c>
      <c r="N50">
        <f t="shared" si="1"/>
        <v>510</v>
      </c>
      <c r="O50">
        <v>509</v>
      </c>
      <c r="P50">
        <v>1</v>
      </c>
      <c r="Q50">
        <v>3</v>
      </c>
      <c r="R50">
        <v>0</v>
      </c>
      <c r="S50" t="s">
        <v>33</v>
      </c>
      <c r="T50" t="str">
        <f>HYPERLINK("https://images.diginfra.net/framed3.html?imagesetuuid=cce3dc39-04f4-4d57-b3db-fdf0a2653e66&amp;uri=https://images.diginfra.net/iiif/NL-HaNA_1.01.02/3776/NL-HaNA_1.01.02_3776_0255.jpg", "viewer_url")</f>
        <v>viewer_url</v>
      </c>
      <c r="U50" t="str">
        <f>HYPERLINK("https://images.diginfra.net/iiif/NL-HaNA_1.01.02/3776/NL-HaNA_1.01.02_3776_0255.jpg/3487,2960,881,457/full/0/default.jpg", "iiif_url")</f>
        <v>iiif_url</v>
      </c>
      <c r="V50" t="s">
        <v>33</v>
      </c>
      <c r="W50" t="s">
        <v>254</v>
      </c>
      <c r="X50" t="str">
        <f>HYPERLINK("https://images.diginfra.net/framed3.html?imagesetuuid=cce3dc39-04f4-4d57-b3db-fdf0a2653e66&amp;uri=https://images.diginfra.net/iiif/NL-HaNA_1.01.02/3776/NL-HaNA_1.01.02_3776_0254.jpg", "prev_meeting_viewer_url")</f>
        <v>prev_meeting_viewer_url</v>
      </c>
      <c r="Y50" t="str">
        <f>HYPERLINK("https://images.diginfra.net/iiif/NL-HaNA_1.01.02/3776/NL-HaNA_1.01.02_3776_0254.jpg/3403,486,1106,2875/full/0/default.jpg", "prev_meeting_iiif_url")</f>
        <v>prev_meeting_iiif_url</v>
      </c>
      <c r="Z50" t="s">
        <v>33</v>
      </c>
      <c r="AA50" t="s">
        <v>255</v>
      </c>
      <c r="AB50" t="str">
        <f>HYPERLINK("https://images.diginfra.net/framed3.html?imagesetuuid=cce3dc39-04f4-4d57-b3db-fdf0a2653e66&amp;uri=https://images.diginfra.net/iiif/NL-HaNA_1.01.02/3776/NL-HaNA_1.01.02_3776_0256.jpg", "next_meeting_viewer_url")</f>
        <v>next_meeting_viewer_url</v>
      </c>
      <c r="AC50" t="str">
        <f>HYPERLINK("https://images.diginfra.net/iiif/NL-HaNA_1.01.02/3776/NL-HaNA_1.01.02_3776_0256.jpg/2420,934,1103,2454/full/0/default.jpg", "next_meeting_iiif_url")</f>
        <v>next_meeting_iiif_url</v>
      </c>
    </row>
    <row r="51" spans="1:29" x14ac:dyDescent="0.2">
      <c r="A51" t="s">
        <v>256</v>
      </c>
      <c r="B51" t="s">
        <v>63</v>
      </c>
      <c r="D51" t="b">
        <v>0</v>
      </c>
      <c r="E51" t="b">
        <v>0</v>
      </c>
      <c r="F51">
        <v>1</v>
      </c>
      <c r="G51">
        <v>1</v>
      </c>
      <c r="J51">
        <v>3806</v>
      </c>
      <c r="K51">
        <v>429</v>
      </c>
      <c r="N51">
        <f t="shared" si="1"/>
        <v>858</v>
      </c>
      <c r="O51">
        <v>857</v>
      </c>
      <c r="P51">
        <v>1</v>
      </c>
      <c r="T51" t="str">
        <f>HYPERLINK("None", "viewer_url")</f>
        <v>viewer_url</v>
      </c>
      <c r="U51" t="str">
        <f>HYPERLINK("None", "iiif_url")</f>
        <v>iiif_url</v>
      </c>
      <c r="V51" t="s">
        <v>33</v>
      </c>
      <c r="W51" t="s">
        <v>257</v>
      </c>
      <c r="X51" t="str">
        <f>HYPERLINK("https://images.diginfra.net/framed3.html?imagesetuuid=0c00a1f2-d59c-4408-905f-fe388b02204f&amp;uri=https://images.diginfra.net/iiif/NL-HaNA_1.01.02/3806/NL-HaNA_1.01.02_3806_0429.jpg", "prev_meeting_viewer_url")</f>
        <v>prev_meeting_viewer_url</v>
      </c>
      <c r="Y51" t="str">
        <f>HYPERLINK("https://images.diginfra.net/iiif/NL-HaNA_1.01.02/3806/NL-HaNA_1.01.02_3806_0429.jpg/2408,1473,1097,1969/full/0/default.jpg", "prev_meeting_iiif_url")</f>
        <v>prev_meeting_iiif_url</v>
      </c>
      <c r="Z51" t="s">
        <v>33</v>
      </c>
      <c r="AA51" t="s">
        <v>258</v>
      </c>
      <c r="AB51" t="str">
        <f>HYPERLINK("https://images.diginfra.net/framed3.html?imagesetuuid=0c00a1f2-d59c-4408-905f-fe388b02204f&amp;uri=https://images.diginfra.net/iiif/NL-HaNA_1.01.02/3806/NL-HaNA_1.01.02_3806_0429.jpg", "next_meeting_viewer_url")</f>
        <v>next_meeting_viewer_url</v>
      </c>
      <c r="AC51" t="str">
        <f>HYPERLINK("https://images.diginfra.net/iiif/NL-HaNA_1.01.02/3806/NL-HaNA_1.01.02_3806_0429.jpg/3356,1472,1091,1978/full/0/default.jpg", "next_meeting_iiif_url")</f>
        <v>next_meeting_iiif_url</v>
      </c>
    </row>
    <row r="52" spans="1:29" x14ac:dyDescent="0.2">
      <c r="A52" t="s">
        <v>259</v>
      </c>
      <c r="B52" t="s">
        <v>79</v>
      </c>
      <c r="C52" t="s">
        <v>260</v>
      </c>
      <c r="D52" t="b">
        <v>1</v>
      </c>
      <c r="E52" t="b">
        <v>1</v>
      </c>
      <c r="F52">
        <v>1</v>
      </c>
      <c r="I52" t="s">
        <v>261</v>
      </c>
      <c r="J52">
        <v>3803</v>
      </c>
      <c r="K52">
        <v>199</v>
      </c>
      <c r="L52">
        <v>2425</v>
      </c>
      <c r="M52">
        <v>1835</v>
      </c>
      <c r="N52">
        <f t="shared" si="1"/>
        <v>398</v>
      </c>
      <c r="O52">
        <v>397</v>
      </c>
      <c r="P52">
        <v>0</v>
      </c>
      <c r="Q52">
        <v>2</v>
      </c>
      <c r="R52">
        <v>0</v>
      </c>
      <c r="S52" t="s">
        <v>33</v>
      </c>
      <c r="T52" t="str">
        <f>HYPERLINK("https://images.diginfra.net/framed3.html?imagesetuuid=38df7783-1913-47c1-b96e-bdb08c6574dc&amp;uri=https://images.diginfra.net/iiif/NL-HaNA_1.01.02/3803/NL-HaNA_1.01.02_3803_0199.jpg", "viewer_url")</f>
        <v>viewer_url</v>
      </c>
      <c r="U52" t="str">
        <f>HYPERLINK("https://images.diginfra.net/iiif/NL-HaNA_1.01.02/3803/NL-HaNA_1.01.02_3803_0199.jpg/2425,1835,1058,1564/full/0/default.jpg", "iiif_url")</f>
        <v>iiif_url</v>
      </c>
      <c r="V52" t="s">
        <v>33</v>
      </c>
      <c r="W52" t="s">
        <v>262</v>
      </c>
      <c r="X52" t="str">
        <f>HYPERLINK("https://images.diginfra.net/framed3.html?imagesetuuid=38df7783-1913-47c1-b96e-bdb08c6574dc&amp;uri=https://images.diginfra.net/iiif/NL-HaNA_1.01.02/3803/NL-HaNA_1.01.02_3803_0196.jpg", "prev_meeting_viewer_url")</f>
        <v>prev_meeting_viewer_url</v>
      </c>
      <c r="Y52" t="str">
        <f>HYPERLINK("https://images.diginfra.net/iiif/NL-HaNA_1.01.02/3803/NL-HaNA_1.01.02_3803_0196.jpg/3354,2497,1018,896/full/0/default.jpg", "prev_meeting_iiif_url")</f>
        <v>prev_meeting_iiif_url</v>
      </c>
      <c r="Z52" t="s">
        <v>33</v>
      </c>
      <c r="AA52" t="s">
        <v>263</v>
      </c>
      <c r="AB52" t="str">
        <f>HYPERLINK("https://images.diginfra.net/framed3.html?imagesetuuid=38df7783-1913-47c1-b96e-bdb08c6574dc&amp;uri=https://images.diginfra.net/iiif/NL-HaNA_1.01.02/3803/NL-HaNA_1.01.02_3803_0200.jpg", "next_meeting_viewer_url")</f>
        <v>next_meeting_viewer_url</v>
      </c>
      <c r="AC52" t="str">
        <f>HYPERLINK("https://images.diginfra.net/iiif/NL-HaNA_1.01.02/3803/NL-HaNA_1.01.02_3803_0200.jpg/2401,2012,1044,1298/full/0/default.jpg", "next_meeting_iiif_url")</f>
        <v>next_meeting_iiif_url</v>
      </c>
    </row>
    <row r="53" spans="1:29" x14ac:dyDescent="0.2">
      <c r="A53" t="s">
        <v>264</v>
      </c>
      <c r="B53" t="s">
        <v>37</v>
      </c>
      <c r="C53" t="s">
        <v>265</v>
      </c>
      <c r="D53" t="b">
        <v>1</v>
      </c>
      <c r="E53" t="b">
        <v>1</v>
      </c>
      <c r="F53">
        <v>1</v>
      </c>
      <c r="I53" t="s">
        <v>266</v>
      </c>
      <c r="J53">
        <v>3794</v>
      </c>
      <c r="K53">
        <v>201</v>
      </c>
      <c r="L53">
        <v>1304</v>
      </c>
      <c r="M53">
        <v>1944</v>
      </c>
      <c r="N53">
        <f t="shared" si="1"/>
        <v>402</v>
      </c>
      <c r="O53">
        <v>400</v>
      </c>
      <c r="P53">
        <v>1</v>
      </c>
      <c r="Q53">
        <v>2</v>
      </c>
      <c r="R53">
        <v>0</v>
      </c>
      <c r="S53" t="s">
        <v>33</v>
      </c>
      <c r="T53" t="str">
        <f>HYPERLINK("https://images.diginfra.net/framed3.html?imagesetuuid=5debb5c6-ae39-480e-845e-6e10690f8984&amp;uri=https://images.diginfra.net/iiif/NL-HaNA_1.01.02/3794/NL-HaNA_1.01.02_3794_0201.jpg", "viewer_url")</f>
        <v>viewer_url</v>
      </c>
      <c r="U53" t="str">
        <f>HYPERLINK("https://images.diginfra.net/iiif/NL-HaNA_1.01.02/3794/NL-HaNA_1.01.02_3794_0201.jpg/1304,1944,1109,1484/full/0/default.jpg", "iiif_url")</f>
        <v>iiif_url</v>
      </c>
      <c r="V53" t="s">
        <v>33</v>
      </c>
      <c r="W53" t="s">
        <v>267</v>
      </c>
      <c r="X53" t="str">
        <f>HYPERLINK("https://images.diginfra.net/framed3.html?imagesetuuid=5debb5c6-ae39-480e-845e-6e10690f8984&amp;uri=https://images.diginfra.net/iiif/NL-HaNA_1.01.02/3794/NL-HaNA_1.01.02_3794_0200.jpg", "prev_meeting_viewer_url")</f>
        <v>prev_meeting_viewer_url</v>
      </c>
      <c r="Y53" t="str">
        <f>HYPERLINK("https://images.diginfra.net/iiif/NL-HaNA_1.01.02/3794/NL-HaNA_1.01.02_3794_0200.jpg/3429,579,1103,2867/full/0/default.jpg", "prev_meeting_iiif_url")</f>
        <v>prev_meeting_iiif_url</v>
      </c>
      <c r="Z53" t="s">
        <v>33</v>
      </c>
      <c r="AA53" t="s">
        <v>268</v>
      </c>
      <c r="AB53" t="str">
        <f>HYPERLINK("https://images.diginfra.net/framed3.html?imagesetuuid=5debb5c6-ae39-480e-845e-6e10690f8984&amp;uri=https://images.diginfra.net/iiif/NL-HaNA_1.01.02/3794/NL-HaNA_1.01.02_3794_0202.jpg", "next_meeting_viewer_url")</f>
        <v>next_meeting_viewer_url</v>
      </c>
      <c r="AC53" t="str">
        <f>HYPERLINK("https://images.diginfra.net/iiif/NL-HaNA_1.01.02/3794/NL-HaNA_1.01.02_3794_0202.jpg/386,2083,1087,1374/full/0/default.jpg", "next_meeting_iiif_url")</f>
        <v>next_meeting_iiif_url</v>
      </c>
    </row>
    <row r="54" spans="1:29" x14ac:dyDescent="0.2">
      <c r="A54" t="s">
        <v>269</v>
      </c>
      <c r="B54" t="s">
        <v>79</v>
      </c>
      <c r="C54" t="s">
        <v>270</v>
      </c>
      <c r="D54" t="b">
        <v>1</v>
      </c>
      <c r="E54" t="b">
        <v>1</v>
      </c>
      <c r="F54">
        <v>1</v>
      </c>
      <c r="I54" t="s">
        <v>271</v>
      </c>
      <c r="J54">
        <v>3820</v>
      </c>
      <c r="K54">
        <v>94</v>
      </c>
      <c r="L54">
        <v>340</v>
      </c>
      <c r="M54">
        <v>2155</v>
      </c>
      <c r="N54">
        <f t="shared" si="1"/>
        <v>188</v>
      </c>
      <c r="O54">
        <v>186</v>
      </c>
      <c r="P54">
        <v>0</v>
      </c>
      <c r="Q54">
        <v>1</v>
      </c>
      <c r="R54">
        <v>0</v>
      </c>
      <c r="S54" t="s">
        <v>33</v>
      </c>
      <c r="T54" t="str">
        <f>HYPERLINK("https://images.diginfra.net/framed3.html?imagesetuuid=06387344-f6be-4f89-be7c-57105578c47e&amp;uri=https://images.diginfra.net/iiif/NL-HaNA_1.01.02/3820/NL-HaNA_1.01.02_3820_0094.jpg", "viewer_url")</f>
        <v>viewer_url</v>
      </c>
      <c r="U54" t="str">
        <f>HYPERLINK("https://images.diginfra.net/iiif/NL-HaNA_1.01.02/3820/NL-HaNA_1.01.02_3820_0094.jpg/340,2155,998,1155/full/0/default.jpg", "iiif_url")</f>
        <v>iiif_url</v>
      </c>
      <c r="V54" t="s">
        <v>33</v>
      </c>
      <c r="W54" t="s">
        <v>272</v>
      </c>
      <c r="X54" t="str">
        <f>HYPERLINK("https://images.diginfra.net/framed3.html?imagesetuuid=06387344-f6be-4f89-be7c-57105578c47e&amp;uri=https://images.diginfra.net/iiif/NL-HaNA_1.01.02/3820/NL-HaNA_1.01.02_3820_0093.jpg", "prev_meeting_viewer_url")</f>
        <v>prev_meeting_viewer_url</v>
      </c>
      <c r="Y54" t="str">
        <f>HYPERLINK("https://images.diginfra.net/iiif/NL-HaNA_1.01.02/3820/NL-HaNA_1.01.02_3820_0093.jpg/1237,1746,1048,1541/full/0/default.jpg", "prev_meeting_iiif_url")</f>
        <v>prev_meeting_iiif_url</v>
      </c>
      <c r="Z54" t="s">
        <v>33</v>
      </c>
      <c r="AA54" t="s">
        <v>273</v>
      </c>
      <c r="AB54" t="str">
        <f>HYPERLINK("https://images.diginfra.net/framed3.html?imagesetuuid=06387344-f6be-4f89-be7c-57105578c47e&amp;uri=https://images.diginfra.net/iiif/NL-HaNA_1.01.02/3820/NL-HaNA_1.01.02_3820_0095.jpg", "next_meeting_viewer_url")</f>
        <v>next_meeting_viewer_url</v>
      </c>
      <c r="AC54" t="str">
        <f>HYPERLINK("https://images.diginfra.net/iiif/NL-HaNA_1.01.02/3820/NL-HaNA_1.01.02_3820_0095.jpg/311,1925,1000,1394/full/0/default.jpg", "next_meeting_iiif_url")</f>
        <v>next_meeting_iiif_url</v>
      </c>
    </row>
    <row r="55" spans="1:29" x14ac:dyDescent="0.2">
      <c r="A55" t="s">
        <v>274</v>
      </c>
      <c r="B55" t="s">
        <v>48</v>
      </c>
      <c r="C55" t="s">
        <v>275</v>
      </c>
      <c r="D55" t="b">
        <v>1</v>
      </c>
      <c r="E55" t="b">
        <v>1</v>
      </c>
      <c r="F55">
        <v>1</v>
      </c>
      <c r="I55" t="s">
        <v>276</v>
      </c>
      <c r="J55">
        <v>3789</v>
      </c>
      <c r="K55">
        <v>290</v>
      </c>
      <c r="L55">
        <v>3400</v>
      </c>
      <c r="M55">
        <v>2687</v>
      </c>
      <c r="N55">
        <f t="shared" si="1"/>
        <v>580</v>
      </c>
      <c r="O55">
        <v>579</v>
      </c>
      <c r="P55">
        <v>1</v>
      </c>
      <c r="Q55">
        <v>3</v>
      </c>
      <c r="R55">
        <v>0</v>
      </c>
      <c r="S55" t="s">
        <v>33</v>
      </c>
      <c r="T55" t="str">
        <f>HYPERLINK("https://images.diginfra.net/framed3.html?imagesetuuid=b2a3e6f4-5cd7-4539-b0af-036095fc5ec2&amp;uri=https://images.diginfra.net/iiif/NL-HaNA_1.01.02/3789/NL-HaNA_1.01.02_3789_0290.jpg", "viewer_url")</f>
        <v>viewer_url</v>
      </c>
      <c r="U55" t="str">
        <f>HYPERLINK("https://images.diginfra.net/iiif/NL-HaNA_1.01.02/3789/NL-HaNA_1.01.02_3789_0290.jpg/3400,2687,1043,753/full/0/default.jpg", "iiif_url")</f>
        <v>iiif_url</v>
      </c>
      <c r="V55" t="s">
        <v>33</v>
      </c>
      <c r="W55" t="s">
        <v>277</v>
      </c>
      <c r="X55" t="str">
        <f>HYPERLINK("https://images.diginfra.net/framed3.html?imagesetuuid=b2a3e6f4-5cd7-4539-b0af-036095fc5ec2&amp;uri=https://images.diginfra.net/iiif/NL-HaNA_1.01.02/3789/NL-HaNA_1.01.02_3789_0290.jpg", "prev_meeting_viewer_url")</f>
        <v>prev_meeting_viewer_url</v>
      </c>
      <c r="Y55" t="str">
        <f>HYPERLINK("https://images.diginfra.net/iiif/NL-HaNA_1.01.02/3789/NL-HaNA_1.01.02_3789_0290.jpg/2430,924,1094,2474/full/0/default.jpg", "prev_meeting_iiif_url")</f>
        <v>prev_meeting_iiif_url</v>
      </c>
      <c r="Z55" t="s">
        <v>33</v>
      </c>
      <c r="AA55" t="s">
        <v>278</v>
      </c>
      <c r="AB55" t="str">
        <f>HYPERLINK("https://images.diginfra.net/framed3.html?imagesetuuid=b2a3e6f4-5cd7-4539-b0af-036095fc5ec2&amp;uri=https://images.diginfra.net/iiif/NL-HaNA_1.01.02/3789/NL-HaNA_1.01.02_3789_0291.jpg", "next_meeting_viewer_url")</f>
        <v>next_meeting_viewer_url</v>
      </c>
      <c r="AC55" t="str">
        <f>HYPERLINK("https://images.diginfra.net/iiif/NL-HaNA_1.01.02/3789/NL-HaNA_1.01.02_3789_0291.jpg/3377,3058,891,412/full/0/default.jpg", "next_meeting_iiif_url")</f>
        <v>next_meeting_iiif_url</v>
      </c>
    </row>
    <row r="56" spans="1:29" x14ac:dyDescent="0.2">
      <c r="A56" t="s">
        <v>279</v>
      </c>
      <c r="B56" t="s">
        <v>37</v>
      </c>
      <c r="C56" t="s">
        <v>280</v>
      </c>
      <c r="D56" t="b">
        <v>1</v>
      </c>
      <c r="E56" t="b">
        <v>1</v>
      </c>
      <c r="F56">
        <v>1</v>
      </c>
      <c r="I56" t="s">
        <v>281</v>
      </c>
      <c r="J56">
        <v>3862</v>
      </c>
      <c r="K56">
        <v>308</v>
      </c>
      <c r="L56">
        <v>281</v>
      </c>
      <c r="M56">
        <v>806</v>
      </c>
      <c r="N56">
        <f t="shared" si="1"/>
        <v>616</v>
      </c>
      <c r="O56">
        <v>614</v>
      </c>
      <c r="P56">
        <v>0</v>
      </c>
      <c r="Q56">
        <v>1</v>
      </c>
      <c r="R56">
        <v>0</v>
      </c>
      <c r="S56" t="s">
        <v>33</v>
      </c>
      <c r="T56" t="str">
        <f>HYPERLINK("https://images.diginfra.net/framed3.html?imagesetuuid=5a5120d1-2872-4244-a382-402d77c3ee84&amp;uri=https://images.diginfra.net/iiif/NL-HaNA_1.01.02/3862/NL-HaNA_1.01.02_3862_0308.jpg", "viewer_url")</f>
        <v>viewer_url</v>
      </c>
      <c r="U56" t="str">
        <f>HYPERLINK("https://images.diginfra.net/iiif/NL-HaNA_1.01.02/3862/NL-HaNA_1.01.02_3862_0308.jpg/281,806,1070,2602/full/0/default.jpg", "iiif_url")</f>
        <v>iiif_url</v>
      </c>
      <c r="V56" t="s">
        <v>33</v>
      </c>
      <c r="W56" t="s">
        <v>282</v>
      </c>
      <c r="X56" t="str">
        <f>HYPERLINK("https://images.diginfra.net/framed3.html?imagesetuuid=5a5120d1-2872-4244-a382-402d77c3ee84&amp;uri=https://images.diginfra.net/iiif/NL-HaNA_1.01.02/3862/NL-HaNA_1.01.02_3862_0304.jpg", "prev_meeting_viewer_url")</f>
        <v>prev_meeting_viewer_url</v>
      </c>
      <c r="Y56" t="str">
        <f>HYPERLINK("https://images.diginfra.net/iiif/NL-HaNA_1.01.02/3862/NL-HaNA_1.01.02_3862_0304.jpg/280,822,1083,2564/full/0/default.jpg", "prev_meeting_iiif_url")</f>
        <v>prev_meeting_iiif_url</v>
      </c>
      <c r="Z56" t="s">
        <v>33</v>
      </c>
      <c r="AA56" t="s">
        <v>283</v>
      </c>
      <c r="AB56" t="str">
        <f>HYPERLINK("https://images.diginfra.net/framed3.html?imagesetuuid=5a5120d1-2872-4244-a382-402d77c3ee84&amp;uri=https://images.diginfra.net/iiif/NL-HaNA_1.01.02/3862/NL-HaNA_1.01.02_3862_0313.jpg", "next_meeting_viewer_url")</f>
        <v>next_meeting_viewer_url</v>
      </c>
      <c r="AC56" t="str">
        <f>HYPERLINK("https://images.diginfra.net/iiif/NL-HaNA_1.01.02/3862/NL-HaNA_1.01.02_3862_0313.jpg/2417,1490,1072,1932/full/0/default.jpg", "next_meeting_iiif_url")</f>
        <v>next_meeting_iiif_url</v>
      </c>
    </row>
    <row r="57" spans="1:29" x14ac:dyDescent="0.2">
      <c r="A57" t="s">
        <v>284</v>
      </c>
      <c r="B57" t="s">
        <v>63</v>
      </c>
      <c r="D57" t="b">
        <v>0</v>
      </c>
      <c r="E57" t="b">
        <v>0</v>
      </c>
      <c r="F57">
        <v>1</v>
      </c>
      <c r="G57">
        <v>1</v>
      </c>
      <c r="J57">
        <v>3773</v>
      </c>
      <c r="K57">
        <v>90</v>
      </c>
      <c r="N57">
        <f t="shared" si="1"/>
        <v>180</v>
      </c>
      <c r="O57">
        <v>178</v>
      </c>
      <c r="P57">
        <v>1</v>
      </c>
      <c r="T57" t="str">
        <f>HYPERLINK("None", "viewer_url")</f>
        <v>viewer_url</v>
      </c>
      <c r="U57" t="str">
        <f>HYPERLINK("None", "iiif_url")</f>
        <v>iiif_url</v>
      </c>
      <c r="V57" t="s">
        <v>33</v>
      </c>
      <c r="W57" t="s">
        <v>285</v>
      </c>
      <c r="X57" t="str">
        <f>HYPERLINK("https://images.diginfra.net/framed3.html?imagesetuuid=0d0ede5e-a7f6-4a03-b996-493e50528c24&amp;uri=https://images.diginfra.net/iiif/NL-HaNA_1.01.02/3773/NL-HaNA_1.01.02_3773_0088.jpg", "prev_meeting_viewer_url")</f>
        <v>prev_meeting_viewer_url</v>
      </c>
      <c r="Y57" t="str">
        <f>HYPERLINK("https://images.diginfra.net/iiif/NL-HaNA_1.01.02/3773/NL-HaNA_1.01.02_3773_0088.jpg/3360,2066,1038,1253/full/0/default.jpg", "prev_meeting_iiif_url")</f>
        <v>prev_meeting_iiif_url</v>
      </c>
      <c r="Z57" t="s">
        <v>33</v>
      </c>
      <c r="AA57" t="s">
        <v>286</v>
      </c>
      <c r="AB57" t="str">
        <f>HYPERLINK("https://images.diginfra.net/framed3.html?imagesetuuid=0d0ede5e-a7f6-4a03-b996-493e50528c24&amp;uri=https://images.diginfra.net/iiif/NL-HaNA_1.01.02/3773/NL-HaNA_1.01.02_3773_0090.jpg", "next_meeting_viewer_url")</f>
        <v>next_meeting_viewer_url</v>
      </c>
      <c r="AC57" t="str">
        <f>HYPERLINK("https://images.diginfra.net/iiif/NL-HaNA_1.01.02/3773/NL-HaNA_1.01.02_3773_0090.jpg/1290,2197,1032,1142/full/0/default.jpg", "next_meeting_iiif_url")</f>
        <v>next_meeting_iiif_url</v>
      </c>
    </row>
    <row r="58" spans="1:29" x14ac:dyDescent="0.2">
      <c r="A58" t="s">
        <v>287</v>
      </c>
      <c r="B58" t="s">
        <v>79</v>
      </c>
      <c r="C58" t="s">
        <v>288</v>
      </c>
      <c r="D58" t="b">
        <v>1</v>
      </c>
      <c r="E58" t="b">
        <v>1</v>
      </c>
      <c r="F58">
        <v>1</v>
      </c>
      <c r="I58" t="s">
        <v>289</v>
      </c>
      <c r="J58">
        <v>3800</v>
      </c>
      <c r="K58">
        <v>304</v>
      </c>
      <c r="L58">
        <v>3351</v>
      </c>
      <c r="M58">
        <v>1391</v>
      </c>
      <c r="N58">
        <f t="shared" si="1"/>
        <v>608</v>
      </c>
      <c r="O58">
        <v>607</v>
      </c>
      <c r="P58">
        <v>1</v>
      </c>
      <c r="Q58">
        <v>2</v>
      </c>
      <c r="R58">
        <v>0</v>
      </c>
      <c r="S58" t="s">
        <v>33</v>
      </c>
      <c r="T58" t="str">
        <f>HYPERLINK("https://images.diginfra.net/framed3.html?imagesetuuid=a9adb8ed-3212-4745-a472-51257845b9e2&amp;uri=https://images.diginfra.net/iiif/NL-HaNA_1.01.02/3800/NL-HaNA_1.01.02_3800_0304.jpg", "viewer_url")</f>
        <v>viewer_url</v>
      </c>
      <c r="U58" t="str">
        <f>HYPERLINK("https://images.diginfra.net/iiif/NL-HaNA_1.01.02/3800/NL-HaNA_1.01.02_3800_0304.jpg/3351,1391,1111,2020/full/0/default.jpg", "iiif_url")</f>
        <v>iiif_url</v>
      </c>
      <c r="V58" t="s">
        <v>33</v>
      </c>
      <c r="W58" t="s">
        <v>132</v>
      </c>
      <c r="X58" t="str">
        <f>HYPERLINK("https://images.diginfra.net/framed3.html?imagesetuuid=a9adb8ed-3212-4745-a472-51257845b9e2&amp;uri=https://images.diginfra.net/iiif/NL-HaNA_1.01.02/3800/NL-HaNA_1.01.02_3800_0303.jpg", "prev_meeting_viewer_url")</f>
        <v>prev_meeting_viewer_url</v>
      </c>
      <c r="Y58" t="str">
        <f>HYPERLINK("https://images.diginfra.net/iiif/NL-HaNA_1.01.02/3800/NL-HaNA_1.01.02_3800_0303.jpg/3388,2399,1041,1083/full/0/default.jpg", "prev_meeting_iiif_url")</f>
        <v>prev_meeting_iiif_url</v>
      </c>
      <c r="Z58" t="s">
        <v>33</v>
      </c>
      <c r="AA58" t="s">
        <v>290</v>
      </c>
      <c r="AB58" t="str">
        <f>HYPERLINK("https://images.diginfra.net/framed3.html?imagesetuuid=a9adb8ed-3212-4745-a472-51257845b9e2&amp;uri=https://images.diginfra.net/iiif/NL-HaNA_1.01.02/3800/NL-HaNA_1.01.02_3800_0305.jpg", "next_meeting_viewer_url")</f>
        <v>next_meeting_viewer_url</v>
      </c>
      <c r="AC58" t="str">
        <f>HYPERLINK("https://images.diginfra.net/iiif/NL-HaNA_1.01.02/3800/NL-HaNA_1.01.02_3800_0305.jpg/3378,2551,1036,836/full/0/default.jpg", "next_meeting_iiif_url")</f>
        <v>next_meeting_iiif_url</v>
      </c>
    </row>
    <row r="59" spans="1:29" x14ac:dyDescent="0.2">
      <c r="A59" t="s">
        <v>291</v>
      </c>
      <c r="B59" t="s">
        <v>48</v>
      </c>
      <c r="C59" t="s">
        <v>292</v>
      </c>
      <c r="D59" t="b">
        <v>1</v>
      </c>
      <c r="E59" t="b">
        <v>1</v>
      </c>
      <c r="F59">
        <v>1</v>
      </c>
      <c r="I59" t="s">
        <v>293</v>
      </c>
      <c r="J59">
        <v>3830</v>
      </c>
      <c r="K59">
        <v>149</v>
      </c>
      <c r="L59">
        <v>2384</v>
      </c>
      <c r="M59">
        <v>2520</v>
      </c>
      <c r="N59">
        <f t="shared" si="1"/>
        <v>298</v>
      </c>
      <c r="O59">
        <v>297</v>
      </c>
      <c r="P59">
        <v>0</v>
      </c>
      <c r="Q59">
        <v>2</v>
      </c>
      <c r="R59">
        <v>0</v>
      </c>
      <c r="S59" t="s">
        <v>33</v>
      </c>
      <c r="T59" t="str">
        <f>HYPERLINK("https://images.diginfra.net/framed3.html?imagesetuuid=c4957ef5-1023-495b-ad5d-bfab5967cb29&amp;uri=https://images.diginfra.net/iiif/NL-HaNA_1.01.02/3830/NL-HaNA_1.01.02_3830_0149.jpg", "viewer_url")</f>
        <v>viewer_url</v>
      </c>
      <c r="U59" t="str">
        <f>HYPERLINK("https://images.diginfra.net/iiif/NL-HaNA_1.01.02/3830/NL-HaNA_1.01.02_3830_0149.jpg/2384,2520,931,782/full/0/default.jpg", "iiif_url")</f>
        <v>iiif_url</v>
      </c>
      <c r="V59" t="s">
        <v>33</v>
      </c>
      <c r="W59" t="s">
        <v>294</v>
      </c>
      <c r="X59" t="str">
        <f>HYPERLINK("https://images.diginfra.net/framed3.html?imagesetuuid=c4957ef5-1023-495b-ad5d-bfab5967cb29&amp;uri=https://images.diginfra.net/iiif/NL-HaNA_1.01.02/3830/NL-HaNA_1.01.02_3830_0148.jpg", "prev_meeting_viewer_url")</f>
        <v>prev_meeting_viewer_url</v>
      </c>
      <c r="Y59" t="str">
        <f>HYPERLINK("https://images.diginfra.net/iiif/NL-HaNA_1.01.02/3830/NL-HaNA_1.01.02_3830_0148.jpg/3347,466,1079,2851/full/0/default.jpg", "prev_meeting_iiif_url")</f>
        <v>prev_meeting_iiif_url</v>
      </c>
      <c r="Z59" t="s">
        <v>33</v>
      </c>
      <c r="AA59" t="s">
        <v>295</v>
      </c>
      <c r="AB59" t="str">
        <f>HYPERLINK("https://images.diginfra.net/framed3.html?imagesetuuid=c4957ef5-1023-495b-ad5d-bfab5967cb29&amp;uri=https://images.diginfra.net/iiif/NL-HaNA_1.01.02/3830/NL-HaNA_1.01.02_3830_0152.jpg", "next_meeting_viewer_url")</f>
        <v>next_meeting_viewer_url</v>
      </c>
      <c r="AC59" t="str">
        <f>HYPERLINK("https://images.diginfra.net/iiif/NL-HaNA_1.01.02/3830/NL-HaNA_1.01.02_3830_0152.jpg/1319,1957,1031,1232/full/0/default.jpg", "next_meeting_iiif_url")</f>
        <v>next_meeting_iiif_url</v>
      </c>
    </row>
    <row r="60" spans="1:29" x14ac:dyDescent="0.2">
      <c r="A60" t="s">
        <v>296</v>
      </c>
      <c r="B60" t="s">
        <v>63</v>
      </c>
      <c r="D60" t="b">
        <v>0</v>
      </c>
      <c r="E60" t="b">
        <v>0</v>
      </c>
      <c r="F60">
        <v>1</v>
      </c>
      <c r="G60">
        <v>1</v>
      </c>
      <c r="J60">
        <v>3786</v>
      </c>
      <c r="K60">
        <v>258</v>
      </c>
      <c r="N60">
        <f t="shared" si="1"/>
        <v>516</v>
      </c>
      <c r="O60">
        <v>515</v>
      </c>
      <c r="P60">
        <v>1</v>
      </c>
      <c r="T60" t="str">
        <f>HYPERLINK("None", "viewer_url")</f>
        <v>viewer_url</v>
      </c>
      <c r="U60" t="str">
        <f>HYPERLINK("None", "iiif_url")</f>
        <v>iiif_url</v>
      </c>
      <c r="V60" t="s">
        <v>33</v>
      </c>
      <c r="W60" t="s">
        <v>297</v>
      </c>
      <c r="X60" t="str">
        <f>HYPERLINK("https://images.diginfra.net/framed3.html?imagesetuuid=508661ee-474e-44be-a74a-8aac34348aeb&amp;uri=https://images.diginfra.net/iiif/NL-HaNA_1.01.02/3786/NL-HaNA_1.01.02_3786_0258.jpg", "prev_meeting_viewer_url")</f>
        <v>prev_meeting_viewer_url</v>
      </c>
      <c r="Y60" t="str">
        <f>HYPERLINK("https://images.diginfra.net/iiif/NL-HaNA_1.01.02/3786/NL-HaNA_1.01.02_3786_0258.jpg/280,2850,1024,556/full/0/default.jpg", "prev_meeting_iiif_url")</f>
        <v>prev_meeting_iiif_url</v>
      </c>
      <c r="Z60" t="s">
        <v>33</v>
      </c>
      <c r="AA60" t="s">
        <v>298</v>
      </c>
      <c r="AB60" t="str">
        <f>HYPERLINK("https://images.diginfra.net/framed3.html?imagesetuuid=508661ee-474e-44be-a74a-8aac34348aeb&amp;uri=https://images.diginfra.net/iiif/NL-HaNA_1.01.02/3786/NL-HaNA_1.01.02_3786_0258.jpg", "next_meeting_viewer_url")</f>
        <v>next_meeting_viewer_url</v>
      </c>
      <c r="AC60" t="str">
        <f>HYPERLINK("https://images.diginfra.net/iiif/NL-HaNA_1.01.02/3786/NL-HaNA_1.01.02_3786_0258.jpg/3280,2232,1034,1102/full/0/default.jpg", "next_meeting_iiif_url")</f>
        <v>next_meeting_iiif_url</v>
      </c>
    </row>
    <row r="61" spans="1:29" x14ac:dyDescent="0.2">
      <c r="A61" t="s">
        <v>299</v>
      </c>
      <c r="B61" t="s">
        <v>59</v>
      </c>
      <c r="C61" t="s">
        <v>300</v>
      </c>
      <c r="D61" t="b">
        <v>1</v>
      </c>
      <c r="E61" t="b">
        <v>1</v>
      </c>
      <c r="F61">
        <v>1</v>
      </c>
      <c r="I61" t="s">
        <v>301</v>
      </c>
      <c r="J61">
        <v>3799</v>
      </c>
      <c r="K61">
        <v>93</v>
      </c>
      <c r="L61">
        <v>2317</v>
      </c>
      <c r="M61">
        <v>1340</v>
      </c>
      <c r="N61">
        <f t="shared" si="1"/>
        <v>186</v>
      </c>
      <c r="O61">
        <v>185</v>
      </c>
      <c r="P61">
        <v>0</v>
      </c>
      <c r="Q61">
        <v>0</v>
      </c>
      <c r="R61">
        <v>0</v>
      </c>
      <c r="S61" t="s">
        <v>33</v>
      </c>
      <c r="T61" t="str">
        <f>HYPERLINK("https://images.diginfra.net/framed3.html?imagesetuuid=4246d97e-5e7a-4171-b55e-14e0b73f61db&amp;uri=https://images.diginfra.net/iiif/NL-HaNA_1.01.02/3799/NL-HaNA_1.01.02_3799_0093.jpg", "viewer_url")</f>
        <v>viewer_url</v>
      </c>
      <c r="U61" t="str">
        <f>HYPERLINK("https://images.diginfra.net/iiif/NL-HaNA_1.01.02/3799/NL-HaNA_1.01.02_3799_0093.jpg/2317,1340,1077,2048/full/0/default.jpg", "iiif_url")</f>
        <v>iiif_url</v>
      </c>
      <c r="V61" t="s">
        <v>33</v>
      </c>
      <c r="W61" t="s">
        <v>302</v>
      </c>
      <c r="X61" t="str">
        <f>HYPERLINK("https://images.diginfra.net/framed3.html?imagesetuuid=4246d97e-5e7a-4171-b55e-14e0b73f61db&amp;uri=https://images.diginfra.net/iiif/NL-HaNA_1.01.02/3799/NL-HaNA_1.01.02_3799_0092.jpg", "prev_meeting_viewer_url")</f>
        <v>prev_meeting_viewer_url</v>
      </c>
      <c r="Y61" t="str">
        <f>HYPERLINK("https://images.diginfra.net/iiif/NL-HaNA_1.01.02/3799/NL-HaNA_1.01.02_3799_0092.jpg/3241,1704,1095,1711/full/0/default.jpg", "prev_meeting_iiif_url")</f>
        <v>prev_meeting_iiif_url</v>
      </c>
      <c r="Z61" t="s">
        <v>33</v>
      </c>
      <c r="AA61" t="s">
        <v>303</v>
      </c>
      <c r="AB61" t="str">
        <f>HYPERLINK("https://images.diginfra.net/framed3.html?imagesetuuid=4246d97e-5e7a-4171-b55e-14e0b73f61db&amp;uri=https://images.diginfra.net/iiif/NL-HaNA_1.01.02/3799/NL-HaNA_1.01.02_3799_0094.jpg", "next_meeting_viewer_url")</f>
        <v>next_meeting_viewer_url</v>
      </c>
      <c r="AC61" t="str">
        <f>HYPERLINK("https://images.diginfra.net/iiif/NL-HaNA_1.01.02/3799/NL-HaNA_1.01.02_3799_0094.jpg/2321,1041,1080,2360/full/0/default.jpg", "next_meeting_iiif_url")</f>
        <v>next_meeting_iiif_url</v>
      </c>
    </row>
    <row r="62" spans="1:29" x14ac:dyDescent="0.2">
      <c r="A62" t="s">
        <v>304</v>
      </c>
      <c r="B62" t="s">
        <v>79</v>
      </c>
      <c r="C62" t="s">
        <v>305</v>
      </c>
      <c r="D62" t="b">
        <v>1</v>
      </c>
      <c r="E62" t="b">
        <v>1</v>
      </c>
      <c r="F62">
        <v>1</v>
      </c>
      <c r="I62" t="s">
        <v>306</v>
      </c>
      <c r="J62">
        <v>3838</v>
      </c>
      <c r="K62">
        <v>126</v>
      </c>
      <c r="L62">
        <v>2354</v>
      </c>
      <c r="M62">
        <v>647</v>
      </c>
      <c r="N62">
        <f t="shared" si="1"/>
        <v>252</v>
      </c>
      <c r="O62">
        <v>251</v>
      </c>
      <c r="P62">
        <v>0</v>
      </c>
      <c r="Q62">
        <v>1</v>
      </c>
      <c r="R62">
        <v>0</v>
      </c>
      <c r="S62" t="s">
        <v>44</v>
      </c>
      <c r="T62" t="str">
        <f>HYPERLINK("https://images.diginfra.net/framed3.html?imagesetuuid=fd366382-5fd2-4059-84bc-fcf4d87b2fc4&amp;uri=https://images.diginfra.net/iiif/NL-HaNA_1.01.02/3838/NL-HaNA_1.01.02_3838_0126.jpg", "viewer_url")</f>
        <v>viewer_url</v>
      </c>
      <c r="U62" t="str">
        <f>HYPERLINK("https://images.diginfra.net/iiif/NL-HaNA_1.01.02/3838/NL-HaNA_1.01.02_3838_0126.jpg/2354,647,1082,2724/full/0/default.jpg", "iiif_url")</f>
        <v>iiif_url</v>
      </c>
      <c r="V62" t="s">
        <v>33</v>
      </c>
      <c r="W62" t="s">
        <v>307</v>
      </c>
      <c r="X62" t="str">
        <f>HYPERLINK("https://images.diginfra.net/framed3.html?imagesetuuid=fd366382-5fd2-4059-84bc-fcf4d87b2fc4&amp;uri=https://images.diginfra.net/iiif/NL-HaNA_1.01.02/3838/NL-HaNA_1.01.02_3838_0124.jpg", "prev_meeting_viewer_url")</f>
        <v>prev_meeting_viewer_url</v>
      </c>
      <c r="Y62" t="str">
        <f>HYPERLINK("https://images.diginfra.net/iiif/NL-HaNA_1.01.02/3838/NL-HaNA_1.01.02_3838_0124.jpg/2383,724,1075,2717/full/0/default.jpg", "prev_meeting_iiif_url")</f>
        <v>prev_meeting_iiif_url</v>
      </c>
    </row>
    <row r="63" spans="1:29" x14ac:dyDescent="0.2">
      <c r="A63" t="s">
        <v>308</v>
      </c>
      <c r="B63" t="s">
        <v>48</v>
      </c>
      <c r="C63" t="s">
        <v>309</v>
      </c>
      <c r="D63" t="b">
        <v>1</v>
      </c>
      <c r="E63" t="b">
        <v>1</v>
      </c>
      <c r="F63">
        <v>1</v>
      </c>
      <c r="I63" t="s">
        <v>310</v>
      </c>
      <c r="J63">
        <v>3838</v>
      </c>
      <c r="K63">
        <v>46</v>
      </c>
      <c r="L63">
        <v>3329</v>
      </c>
      <c r="M63">
        <v>307</v>
      </c>
      <c r="N63">
        <f t="shared" si="1"/>
        <v>92</v>
      </c>
      <c r="O63">
        <v>91</v>
      </c>
      <c r="P63">
        <v>1</v>
      </c>
      <c r="Q63">
        <v>0</v>
      </c>
      <c r="R63">
        <v>0</v>
      </c>
      <c r="S63" t="s">
        <v>44</v>
      </c>
      <c r="T63" t="str">
        <f>HYPERLINK("https://images.diginfra.net/framed3.html?imagesetuuid=fd366382-5fd2-4059-84bc-fcf4d87b2fc4&amp;uri=https://images.diginfra.net/iiif/NL-HaNA_1.01.02/3838/NL-HaNA_1.01.02_3838_0046.jpg", "viewer_url")</f>
        <v>viewer_url</v>
      </c>
      <c r="U63" t="str">
        <f>HYPERLINK("https://images.diginfra.net/iiif/NL-HaNA_1.01.02/3838/NL-HaNA_1.01.02_3838_0046.jpg/3329,307,1079,3116/full/0/default.jpg", "iiif_url")</f>
        <v>iiif_url</v>
      </c>
      <c r="V63" t="s">
        <v>33</v>
      </c>
      <c r="X63" t="str">
        <f>HYPERLINK("https://images.diginfra.net/framed3.html?imagesetuuid=fd366382-5fd2-4059-84bc-fcf4d87b2fc4&amp;uri=https://images.diginfra.net/iiif/NL-HaNA_1.01.02/3838/NL-HaNA_1.01.02_3838_0038.jpg", "prev_meeting_viewer_url")</f>
        <v>prev_meeting_viewer_url</v>
      </c>
      <c r="Y63" t="str">
        <f>HYPERLINK("https://images.diginfra.net/iiif/NL-HaNA_1.01.02/3838/NL-HaNA_1.01.02_3838_0038.jpg/3300,453,1095,2920/full/0/default.jpg", "prev_meeting_iiif_url")</f>
        <v>prev_meeting_iiif_url</v>
      </c>
    </row>
    <row r="64" spans="1:29" x14ac:dyDescent="0.2">
      <c r="A64" t="s">
        <v>311</v>
      </c>
      <c r="B64" t="s">
        <v>30</v>
      </c>
      <c r="C64" t="s">
        <v>312</v>
      </c>
      <c r="D64" t="b">
        <v>1</v>
      </c>
      <c r="E64" t="b">
        <v>1</v>
      </c>
      <c r="F64">
        <v>1</v>
      </c>
      <c r="I64" t="s">
        <v>313</v>
      </c>
      <c r="J64">
        <v>3853</v>
      </c>
      <c r="K64">
        <v>339</v>
      </c>
      <c r="L64">
        <v>1280</v>
      </c>
      <c r="M64">
        <v>2886</v>
      </c>
      <c r="N64">
        <f t="shared" si="1"/>
        <v>678</v>
      </c>
      <c r="O64">
        <v>676</v>
      </c>
      <c r="P64">
        <v>1</v>
      </c>
      <c r="Q64">
        <v>1</v>
      </c>
      <c r="R64">
        <v>0</v>
      </c>
      <c r="S64" t="s">
        <v>33</v>
      </c>
      <c r="T64" t="str">
        <f>HYPERLINK("https://images.diginfra.net/framed3.html?imagesetuuid=70af21ed-3dea-44e0-a125-396f50f1c89e&amp;uri=https://images.diginfra.net/iiif/NL-HaNA_1.01.02/3853/NL-HaNA_1.01.02_3853_0339.jpg", "viewer_url")</f>
        <v>viewer_url</v>
      </c>
      <c r="U64" t="str">
        <f>HYPERLINK("https://images.diginfra.net/iiif/NL-HaNA_1.01.02/3853/NL-HaNA_1.01.02_3853_0339.jpg/1280,2886,905,507/full/0/default.jpg", "iiif_url")</f>
        <v>iiif_url</v>
      </c>
      <c r="V64" t="s">
        <v>33</v>
      </c>
      <c r="W64" t="s">
        <v>314</v>
      </c>
      <c r="X64" t="str">
        <f>HYPERLINK("https://images.diginfra.net/framed3.html?imagesetuuid=70af21ed-3dea-44e0-a125-396f50f1c89e&amp;uri=https://images.diginfra.net/iiif/NL-HaNA_1.01.02/3853/NL-HaNA_1.01.02_3853_0338.jpg", "prev_meeting_viewer_url")</f>
        <v>prev_meeting_viewer_url</v>
      </c>
      <c r="Y64" t="str">
        <f>HYPERLINK("https://images.diginfra.net/iiif/NL-HaNA_1.01.02/3853/NL-HaNA_1.01.02_3853_0338.jpg/1211,971,1101,2455/full/0/default.jpg", "prev_meeting_iiif_url")</f>
        <v>prev_meeting_iiif_url</v>
      </c>
      <c r="Z64" t="s">
        <v>33</v>
      </c>
      <c r="AA64" t="s">
        <v>315</v>
      </c>
      <c r="AB64" t="str">
        <f>HYPERLINK("https://images.diginfra.net/framed3.html?imagesetuuid=70af21ed-3dea-44e0-a125-396f50f1c89e&amp;uri=https://images.diginfra.net/iiif/NL-HaNA_1.01.02/3853/NL-HaNA_1.01.02_3853_0340.jpg", "next_meeting_viewer_url")</f>
        <v>next_meeting_viewer_url</v>
      </c>
      <c r="AC64" t="str">
        <f>HYPERLINK("https://images.diginfra.net/iiif/NL-HaNA_1.01.02/3853/NL-HaNA_1.01.02_3853_0340.jpg/2432,770,1075,2642/full/0/default.jpg", "next_meeting_iiif_url")</f>
        <v>next_meeting_iiif_url</v>
      </c>
    </row>
    <row r="65" spans="1:29" x14ac:dyDescent="0.2">
      <c r="A65" t="s">
        <v>316</v>
      </c>
      <c r="B65" t="s">
        <v>85</v>
      </c>
      <c r="C65" t="s">
        <v>317</v>
      </c>
      <c r="D65" t="b">
        <v>1</v>
      </c>
      <c r="E65" t="b">
        <v>1</v>
      </c>
      <c r="F65">
        <v>1</v>
      </c>
      <c r="I65" t="s">
        <v>318</v>
      </c>
      <c r="J65">
        <v>3789</v>
      </c>
      <c r="K65">
        <v>160</v>
      </c>
      <c r="L65">
        <v>2437</v>
      </c>
      <c r="M65">
        <v>545</v>
      </c>
      <c r="N65">
        <f t="shared" si="1"/>
        <v>320</v>
      </c>
      <c r="O65">
        <v>319</v>
      </c>
      <c r="P65">
        <v>0</v>
      </c>
      <c r="Q65">
        <v>1</v>
      </c>
      <c r="R65">
        <v>0</v>
      </c>
      <c r="S65" t="s">
        <v>33</v>
      </c>
      <c r="T65" t="str">
        <f>HYPERLINK("https://images.diginfra.net/framed3.html?imagesetuuid=b2a3e6f4-5cd7-4539-b0af-036095fc5ec2&amp;uri=https://images.diginfra.net/iiif/NL-HaNA_1.01.02/3789/NL-HaNA_1.01.02_3789_0160.jpg", "viewer_url")</f>
        <v>viewer_url</v>
      </c>
      <c r="U65" t="str">
        <f>HYPERLINK("https://images.diginfra.net/iiif/NL-HaNA_1.01.02/3789/NL-HaNA_1.01.02_3789_0160.jpg/2437,545,1093,2877/full/0/default.jpg", "iiif_url")</f>
        <v>iiif_url</v>
      </c>
      <c r="V65" t="s">
        <v>33</v>
      </c>
      <c r="W65" t="s">
        <v>319</v>
      </c>
      <c r="X65" t="str">
        <f>HYPERLINK("https://images.diginfra.net/framed3.html?imagesetuuid=b2a3e6f4-5cd7-4539-b0af-036095fc5ec2&amp;uri=https://images.diginfra.net/iiif/NL-HaNA_1.01.02/3789/NL-HaNA_1.01.02_3789_0159.jpg", "prev_meeting_viewer_url")</f>
        <v>prev_meeting_viewer_url</v>
      </c>
      <c r="Y65" t="str">
        <f>HYPERLINK("https://images.diginfra.net/iiif/NL-HaNA_1.01.02/3789/NL-HaNA_1.01.02_3789_0159.jpg/256,1743,1103,1702/full/0/default.jpg", "prev_meeting_iiif_url")</f>
        <v>prev_meeting_iiif_url</v>
      </c>
      <c r="Z65" t="s">
        <v>33</v>
      </c>
      <c r="AA65" t="s">
        <v>320</v>
      </c>
      <c r="AB65" t="str">
        <f>HYPERLINK("https://images.diginfra.net/framed3.html?imagesetuuid=b2a3e6f4-5cd7-4539-b0af-036095fc5ec2&amp;uri=https://images.diginfra.net/iiif/NL-HaNA_1.01.02/3789/NL-HaNA_1.01.02_3789_0161.jpg", "next_meeting_viewer_url")</f>
        <v>next_meeting_viewer_url</v>
      </c>
      <c r="AC65" t="str">
        <f>HYPERLINK("https://images.diginfra.net/iiif/NL-HaNA_1.01.02/3789/NL-HaNA_1.01.02_3789_0161.jpg/341,2411,1038,933/full/0/default.jpg", "next_meeting_iiif_url")</f>
        <v>next_meeting_iiif_url</v>
      </c>
    </row>
    <row r="66" spans="1:29" x14ac:dyDescent="0.2">
      <c r="A66" t="s">
        <v>321</v>
      </c>
      <c r="B66" t="s">
        <v>59</v>
      </c>
      <c r="C66" t="s">
        <v>322</v>
      </c>
      <c r="D66" t="b">
        <v>1</v>
      </c>
      <c r="E66" t="b">
        <v>1</v>
      </c>
      <c r="F66">
        <v>1</v>
      </c>
      <c r="I66" t="s">
        <v>323</v>
      </c>
      <c r="J66">
        <v>3793</v>
      </c>
      <c r="K66">
        <v>385</v>
      </c>
      <c r="L66">
        <v>326</v>
      </c>
      <c r="M66">
        <v>2488</v>
      </c>
      <c r="N66">
        <f t="shared" ref="N66:N97" si="2">K66*2</f>
        <v>770</v>
      </c>
      <c r="O66">
        <v>768</v>
      </c>
      <c r="P66">
        <v>0</v>
      </c>
      <c r="Q66">
        <v>1</v>
      </c>
      <c r="R66">
        <v>0</v>
      </c>
      <c r="S66" t="s">
        <v>33</v>
      </c>
      <c r="T66" t="str">
        <f>HYPERLINK("https://images.diginfra.net/framed3.html?imagesetuuid=8305a309-5c79-4c0c-a981-7e350c76be32&amp;uri=https://images.diginfra.net/iiif/NL-HaNA_1.01.02/3793/NL-HaNA_1.01.02_3793_0385.jpg", "viewer_url")</f>
        <v>viewer_url</v>
      </c>
      <c r="U66" t="str">
        <f>HYPERLINK("https://images.diginfra.net/iiif/NL-HaNA_1.01.02/3793/NL-HaNA_1.01.02_3793_0385.jpg/326,2488,1029,922/full/0/default.jpg", "iiif_url")</f>
        <v>iiif_url</v>
      </c>
      <c r="V66" t="s">
        <v>33</v>
      </c>
      <c r="W66" t="s">
        <v>324</v>
      </c>
      <c r="X66" t="str">
        <f>HYPERLINK("https://images.diginfra.net/framed3.html?imagesetuuid=8305a309-5c79-4c0c-a981-7e350c76be32&amp;uri=https://images.diginfra.net/iiif/NL-HaNA_1.01.02/3793/NL-HaNA_1.01.02_3793_0384.jpg", "prev_meeting_viewer_url")</f>
        <v>prev_meeting_viewer_url</v>
      </c>
      <c r="Y66" t="str">
        <f>HYPERLINK("https://images.diginfra.net/iiif/NL-HaNA_1.01.02/3793/NL-HaNA_1.01.02_3793_0384.jpg/2468,537,1112,2913/full/0/default.jpg", "prev_meeting_iiif_url")</f>
        <v>prev_meeting_iiif_url</v>
      </c>
      <c r="Z66" t="s">
        <v>33</v>
      </c>
      <c r="AA66" t="s">
        <v>325</v>
      </c>
      <c r="AB66" t="str">
        <f>HYPERLINK("https://images.diginfra.net/framed3.html?imagesetuuid=8305a309-5c79-4c0c-a981-7e350c76be32&amp;uri=https://images.diginfra.net/iiif/NL-HaNA_1.01.02/3793/NL-HaNA_1.01.02_3793_0385.jpg", "next_meeting_viewer_url")</f>
        <v>next_meeting_viewer_url</v>
      </c>
      <c r="AC66" t="str">
        <f>HYPERLINK("https://images.diginfra.net/iiif/NL-HaNA_1.01.02/3793/NL-HaNA_1.01.02_3793_0385.jpg/3573,3072,845,367/full/0/default.jpg", "next_meeting_iiif_url")</f>
        <v>next_meeting_iiif_url</v>
      </c>
    </row>
    <row r="67" spans="1:29" x14ac:dyDescent="0.2">
      <c r="A67" t="s">
        <v>326</v>
      </c>
      <c r="B67" t="s">
        <v>63</v>
      </c>
      <c r="D67" t="b">
        <v>0</v>
      </c>
      <c r="E67" t="b">
        <v>0</v>
      </c>
      <c r="F67">
        <v>1</v>
      </c>
      <c r="G67">
        <v>1</v>
      </c>
      <c r="J67">
        <v>3773</v>
      </c>
      <c r="K67">
        <v>463</v>
      </c>
      <c r="N67">
        <f t="shared" si="2"/>
        <v>926</v>
      </c>
      <c r="O67">
        <v>924</v>
      </c>
      <c r="P67">
        <v>0</v>
      </c>
      <c r="T67" t="str">
        <f>HYPERLINK("None", "viewer_url")</f>
        <v>viewer_url</v>
      </c>
      <c r="U67" t="str">
        <f>HYPERLINK("None", "iiif_url")</f>
        <v>iiif_url</v>
      </c>
      <c r="V67" t="s">
        <v>33</v>
      </c>
      <c r="W67" t="s">
        <v>327</v>
      </c>
      <c r="X67" t="str">
        <f>HYPERLINK("https://images.diginfra.net/framed3.html?imagesetuuid=0d0ede5e-a7f6-4a03-b996-493e50528c24&amp;uri=https://images.diginfra.net/iiif/NL-HaNA_1.01.02/3773/NL-HaNA_1.01.02_3773_0462.jpg", "prev_meeting_viewer_url")</f>
        <v>prev_meeting_viewer_url</v>
      </c>
      <c r="Y67" t="str">
        <f>HYPERLINK("https://images.diginfra.net/iiif/NL-HaNA_1.01.02/3773/NL-HaNA_1.01.02_3773_0462.jpg/2336,530,1088,2870/full/0/default.jpg", "prev_meeting_iiif_url")</f>
        <v>prev_meeting_iiif_url</v>
      </c>
      <c r="Z67" t="s">
        <v>33</v>
      </c>
      <c r="AA67" t="s">
        <v>328</v>
      </c>
      <c r="AB67" t="str">
        <f>HYPERLINK("https://images.diginfra.net/framed3.html?imagesetuuid=0d0ede5e-a7f6-4a03-b996-493e50528c24&amp;uri=https://images.diginfra.net/iiif/NL-HaNA_1.01.02/3773/NL-HaNA_1.01.02_3773_0463.jpg", "next_meeting_viewer_url")</f>
        <v>next_meeting_viewer_url</v>
      </c>
      <c r="AC67" t="str">
        <f>HYPERLINK("https://images.diginfra.net/iiif/NL-HaNA_1.01.02/3773/NL-HaNA_1.01.02_3773_0463.jpg/265,2599,1033,834/full/0/default.jpg", "next_meeting_iiif_url")</f>
        <v>next_meeting_iiif_url</v>
      </c>
    </row>
    <row r="68" spans="1:29" x14ac:dyDescent="0.2">
      <c r="A68" t="s">
        <v>329</v>
      </c>
      <c r="B68" t="s">
        <v>37</v>
      </c>
      <c r="C68" t="s">
        <v>330</v>
      </c>
      <c r="D68" t="b">
        <v>1</v>
      </c>
      <c r="E68" t="b">
        <v>1</v>
      </c>
      <c r="F68">
        <v>1</v>
      </c>
      <c r="I68" t="s">
        <v>331</v>
      </c>
      <c r="J68">
        <v>3803</v>
      </c>
      <c r="K68">
        <v>242</v>
      </c>
      <c r="L68">
        <v>338</v>
      </c>
      <c r="M68">
        <v>1293</v>
      </c>
      <c r="N68">
        <f t="shared" si="2"/>
        <v>484</v>
      </c>
      <c r="O68">
        <v>482</v>
      </c>
      <c r="P68">
        <v>0</v>
      </c>
      <c r="Q68">
        <v>1</v>
      </c>
      <c r="R68">
        <v>0</v>
      </c>
      <c r="S68" t="s">
        <v>33</v>
      </c>
      <c r="T68" t="str">
        <f>HYPERLINK("https://images.diginfra.net/framed3.html?imagesetuuid=38df7783-1913-47c1-b96e-bdb08c6574dc&amp;uri=https://images.diginfra.net/iiif/NL-HaNA_1.01.02/3803/NL-HaNA_1.01.02_3803_0242.jpg", "viewer_url")</f>
        <v>viewer_url</v>
      </c>
      <c r="U68" t="str">
        <f>HYPERLINK("https://images.diginfra.net/iiif/NL-HaNA_1.01.02/3803/NL-HaNA_1.01.02_3803_0242.jpg/338,1293,1076,2100/full/0/default.jpg", "iiif_url")</f>
        <v>iiif_url</v>
      </c>
      <c r="V68" t="s">
        <v>33</v>
      </c>
      <c r="W68" t="s">
        <v>332</v>
      </c>
      <c r="X68" t="str">
        <f>HYPERLINK("https://images.diginfra.net/framed3.html?imagesetuuid=38df7783-1913-47c1-b96e-bdb08c6574dc&amp;uri=https://images.diginfra.net/iiif/NL-HaNA_1.01.02/3803/NL-HaNA_1.01.02_3803_0240.jpg", "prev_meeting_viewer_url")</f>
        <v>prev_meeting_viewer_url</v>
      </c>
      <c r="Y68" t="str">
        <f>HYPERLINK("https://images.diginfra.net/iiif/NL-HaNA_1.01.02/3803/NL-HaNA_1.01.02_3803_0240.jpg/293,1302,1104,2074/full/0/default.jpg", "prev_meeting_iiif_url")</f>
        <v>prev_meeting_iiif_url</v>
      </c>
      <c r="Z68" t="s">
        <v>33</v>
      </c>
      <c r="AA68" t="s">
        <v>333</v>
      </c>
      <c r="AB68" t="str">
        <f>HYPERLINK("https://images.diginfra.net/framed3.html?imagesetuuid=38df7783-1913-47c1-b96e-bdb08c6574dc&amp;uri=https://images.diginfra.net/iiif/NL-HaNA_1.01.02/3803/NL-HaNA_1.01.02_3803_0243.jpg", "next_meeting_viewer_url")</f>
        <v>next_meeting_viewer_url</v>
      </c>
      <c r="AC68" t="str">
        <f>HYPERLINK("https://images.diginfra.net/iiif/NL-HaNA_1.01.02/3803/NL-HaNA_1.01.02_3803_0243.jpg/1243,731,1106,2676/full/0/default.jpg", "next_meeting_iiif_url")</f>
        <v>next_meeting_iiif_url</v>
      </c>
    </row>
    <row r="69" spans="1:29" x14ac:dyDescent="0.2">
      <c r="A69" t="s">
        <v>334</v>
      </c>
      <c r="B69" t="s">
        <v>59</v>
      </c>
      <c r="C69" t="s">
        <v>335</v>
      </c>
      <c r="D69" t="b">
        <v>1</v>
      </c>
      <c r="E69" t="b">
        <v>1</v>
      </c>
      <c r="F69">
        <v>1</v>
      </c>
      <c r="I69" t="s">
        <v>336</v>
      </c>
      <c r="J69">
        <v>3761</v>
      </c>
      <c r="K69">
        <v>456</v>
      </c>
      <c r="L69">
        <v>365</v>
      </c>
      <c r="M69">
        <v>798</v>
      </c>
      <c r="N69">
        <f t="shared" si="2"/>
        <v>912</v>
      </c>
      <c r="O69">
        <v>910</v>
      </c>
      <c r="P69">
        <v>0</v>
      </c>
      <c r="Q69">
        <v>1</v>
      </c>
      <c r="R69">
        <v>0</v>
      </c>
      <c r="S69" t="s">
        <v>33</v>
      </c>
      <c r="T69" t="str">
        <f>HYPERLINK("https://images.diginfra.net/framed3.html?imagesetuuid=e6c3b32f-6683-4b16-9444-37e515e232e1&amp;uri=https://images.diginfra.net/iiif/NL-HaNA_1.01.02/3761/NL-HaNA_1.01.02_3761_0456.jpg", "viewer_url")</f>
        <v>viewer_url</v>
      </c>
      <c r="U69" t="str">
        <f>HYPERLINK("https://images.diginfra.net/iiif/NL-HaNA_1.01.02/3761/NL-HaNA_1.01.02_3761_0456.jpg/365,798,1114,2703/full/0/default.jpg", "iiif_url")</f>
        <v>iiif_url</v>
      </c>
      <c r="Z69" t="s">
        <v>33</v>
      </c>
      <c r="AA69" t="s">
        <v>337</v>
      </c>
      <c r="AB69" t="str">
        <f>HYPERLINK("https://images.diginfra.net/framed3.html?imagesetuuid=e6c3b32f-6683-4b16-9444-37e515e232e1&amp;uri=https://images.diginfra.net/iiif/NL-HaNA_1.01.02/3761/NL-HaNA_1.01.02_3761_0458.jpg", "next_meeting_viewer_url")</f>
        <v>next_meeting_viewer_url</v>
      </c>
      <c r="AC69" t="str">
        <f>HYPERLINK("https://images.diginfra.net/iiif/NL-HaNA_1.01.02/3761/NL-HaNA_1.01.02_3761_0458.jpg/1333,809,1129,2665/full/0/default.jpg", "next_meeting_iiif_url")</f>
        <v>next_meeting_iiif_url</v>
      </c>
    </row>
    <row r="70" spans="1:29" x14ac:dyDescent="0.2">
      <c r="A70" t="s">
        <v>338</v>
      </c>
      <c r="B70" t="s">
        <v>59</v>
      </c>
      <c r="D70" t="b">
        <v>0</v>
      </c>
      <c r="E70" t="b">
        <v>0</v>
      </c>
      <c r="F70">
        <v>1</v>
      </c>
      <c r="G70">
        <v>1</v>
      </c>
      <c r="J70">
        <v>3824</v>
      </c>
      <c r="K70">
        <v>480</v>
      </c>
      <c r="N70">
        <f t="shared" si="2"/>
        <v>960</v>
      </c>
      <c r="O70">
        <v>959</v>
      </c>
      <c r="P70">
        <v>0</v>
      </c>
      <c r="T70" t="str">
        <f>HYPERLINK("None", "viewer_url")</f>
        <v>viewer_url</v>
      </c>
      <c r="U70" t="str">
        <f>HYPERLINK("None", "iiif_url")</f>
        <v>iiif_url</v>
      </c>
      <c r="V70" t="s">
        <v>33</v>
      </c>
      <c r="W70" t="s">
        <v>339</v>
      </c>
      <c r="X70" t="str">
        <f>HYPERLINK("https://images.diginfra.net/framed3.html?imagesetuuid=dd191040-86df-4eff-a597-814a829dbed3&amp;uri=https://images.diginfra.net/iiif/NL-HaNA_1.01.02/3824/NL-HaNA_1.01.02_3824_0479.jpg", "prev_meeting_viewer_url")</f>
        <v>prev_meeting_viewer_url</v>
      </c>
      <c r="Y70" t="str">
        <f>HYPERLINK("https://images.diginfra.net/iiif/NL-HaNA_1.01.02/3824/NL-HaNA_1.01.02_3824_0479.jpg/3299,1111,1086,2256/full/0/default.jpg", "prev_meeting_iiif_url")</f>
        <v>prev_meeting_iiif_url</v>
      </c>
      <c r="Z70" t="s">
        <v>33</v>
      </c>
      <c r="AA70" t="s">
        <v>340</v>
      </c>
      <c r="AB70" t="str">
        <f>HYPERLINK("https://images.diginfra.net/framed3.html?imagesetuuid=dd191040-86df-4eff-a597-814a829dbed3&amp;uri=https://images.diginfra.net/iiif/NL-HaNA_1.01.02/3824/NL-HaNA_1.01.02_3824_0480.jpg", "next_meeting_viewer_url")</f>
        <v>next_meeting_viewer_url</v>
      </c>
      <c r="AC70" t="str">
        <f>HYPERLINK("https://images.diginfra.net/iiif/NL-HaNA_1.01.02/3824/NL-HaNA_1.01.02_3824_0480.jpg/2345,682,1092,2660/full/0/default.jpg", "next_meeting_iiif_url")</f>
        <v>next_meeting_iiif_url</v>
      </c>
    </row>
    <row r="71" spans="1:29" x14ac:dyDescent="0.2">
      <c r="A71" t="s">
        <v>2261</v>
      </c>
      <c r="B71" t="s">
        <v>30</v>
      </c>
      <c r="C71" t="s">
        <v>341</v>
      </c>
      <c r="D71" t="b">
        <v>1</v>
      </c>
      <c r="E71" t="b">
        <v>1</v>
      </c>
      <c r="F71">
        <v>1</v>
      </c>
      <c r="I71" t="s">
        <v>343</v>
      </c>
      <c r="J71">
        <v>3864</v>
      </c>
      <c r="K71">
        <v>356</v>
      </c>
      <c r="L71">
        <v>2557</v>
      </c>
      <c r="M71">
        <v>2230</v>
      </c>
      <c r="N71">
        <f t="shared" si="2"/>
        <v>712</v>
      </c>
      <c r="O71">
        <v>711</v>
      </c>
      <c r="P71">
        <v>0</v>
      </c>
      <c r="Q71">
        <v>1</v>
      </c>
      <c r="R71">
        <v>0</v>
      </c>
      <c r="S71" t="s">
        <v>33</v>
      </c>
      <c r="T71" t="str">
        <f>HYPERLINK("https://images.diginfra.net/framed3.html?imagesetuuid=4b21e7ce-04d7-429b-9edd-e191341917f4&amp;uri=https://images.diginfra.net/iiif/NL-HaNA_1.01.02/3864/NL-HaNA_1.01.02_3864_0356.jpg", "viewer_url")</f>
        <v>viewer_url</v>
      </c>
      <c r="U71" t="str">
        <f>HYPERLINK("https://images.diginfra.net/iiif/NL-HaNA_1.01.02/3864/NL-HaNA_1.01.02_3864_0356.jpg/2557,2230,848,1104/full/0/default.jpg", "iiif_url")</f>
        <v>iiif_url</v>
      </c>
    </row>
    <row r="72" spans="1:29" x14ac:dyDescent="0.2">
      <c r="A72" t="s">
        <v>344</v>
      </c>
      <c r="B72" t="s">
        <v>30</v>
      </c>
      <c r="C72" t="s">
        <v>345</v>
      </c>
      <c r="D72" t="b">
        <v>1</v>
      </c>
      <c r="E72" t="b">
        <v>1</v>
      </c>
      <c r="F72">
        <v>1</v>
      </c>
      <c r="I72" t="s">
        <v>346</v>
      </c>
      <c r="J72">
        <v>3855</v>
      </c>
      <c r="K72">
        <v>52</v>
      </c>
      <c r="L72">
        <v>1220</v>
      </c>
      <c r="M72">
        <v>1663</v>
      </c>
      <c r="N72">
        <f t="shared" si="2"/>
        <v>104</v>
      </c>
      <c r="O72">
        <v>102</v>
      </c>
      <c r="P72">
        <v>1</v>
      </c>
      <c r="Q72">
        <v>1</v>
      </c>
      <c r="R72">
        <v>0</v>
      </c>
      <c r="S72" t="s">
        <v>33</v>
      </c>
      <c r="T72" t="str">
        <f>HYPERLINK("https://images.diginfra.net/framed3.html?imagesetuuid=5244deb9-8f97-4a39-89ba-6da1d308b8f5&amp;uri=https://images.diginfra.net/iiif/NL-HaNA_1.01.02/3855/NL-HaNA_1.01.02_3855_0052.jpg", "viewer_url")</f>
        <v>viewer_url</v>
      </c>
      <c r="U72" t="str">
        <f>HYPERLINK("https://images.diginfra.net/iiif/NL-HaNA_1.01.02/3855/NL-HaNA_1.01.02_3855_0052.jpg/1220,1663,1080,1665/full/0/default.jpg", "iiif_url")</f>
        <v>iiif_url</v>
      </c>
      <c r="Z72" t="s">
        <v>33</v>
      </c>
      <c r="AA72" t="s">
        <v>347</v>
      </c>
      <c r="AB72" t="str">
        <f>HYPERLINK("https://images.diginfra.net/framed3.html?imagesetuuid=5244deb9-8f97-4a39-89ba-6da1d308b8f5&amp;uri=https://images.diginfra.net/iiif/NL-HaNA_1.01.02/3855/NL-HaNA_1.01.02_3855_0054.jpg", "next_meeting_viewer_url")</f>
        <v>next_meeting_viewer_url</v>
      </c>
      <c r="AC72" t="str">
        <f>HYPERLINK("https://images.diginfra.net/iiif/NL-HaNA_1.01.02/3855/NL-HaNA_1.01.02_3855_0054.jpg/322,1883,1065,1513/full/0/default.jpg", "next_meeting_iiif_url")</f>
        <v>next_meeting_iiif_url</v>
      </c>
    </row>
    <row r="73" spans="1:29" x14ac:dyDescent="0.2">
      <c r="A73" t="s">
        <v>348</v>
      </c>
      <c r="B73" t="s">
        <v>63</v>
      </c>
      <c r="D73" t="b">
        <v>0</v>
      </c>
      <c r="E73" t="b">
        <v>0</v>
      </c>
      <c r="F73">
        <v>1</v>
      </c>
      <c r="G73">
        <v>1</v>
      </c>
      <c r="J73">
        <v>3848</v>
      </c>
      <c r="K73">
        <v>227</v>
      </c>
      <c r="N73">
        <f t="shared" si="2"/>
        <v>454</v>
      </c>
      <c r="O73">
        <v>452</v>
      </c>
      <c r="P73">
        <v>1</v>
      </c>
      <c r="T73" t="str">
        <f>HYPERLINK("None", "viewer_url")</f>
        <v>viewer_url</v>
      </c>
      <c r="U73" t="str">
        <f>HYPERLINK("None", "iiif_url")</f>
        <v>iiif_url</v>
      </c>
      <c r="V73" t="s">
        <v>33</v>
      </c>
      <c r="W73" t="s">
        <v>349</v>
      </c>
      <c r="X73" t="str">
        <f>HYPERLINK("https://images.diginfra.net/framed3.html?imagesetuuid=0359a1ea-7930-4de5-8687-7aa11d9043bd&amp;uri=https://images.diginfra.net/iiif/NL-HaNA_1.01.02/3848/NL-HaNA_1.01.02_3848_0226.jpg", "prev_meeting_viewer_url")</f>
        <v>prev_meeting_viewer_url</v>
      </c>
      <c r="Y73" t="str">
        <f>HYPERLINK("https://images.diginfra.net/iiif/NL-HaNA_1.01.02/3848/NL-HaNA_1.01.02_3848_0226.jpg/2549,2947,721,321/full/0/default.jpg", "prev_meeting_iiif_url")</f>
        <v>prev_meeting_iiif_url</v>
      </c>
      <c r="Z73" t="s">
        <v>33</v>
      </c>
      <c r="AA73" t="s">
        <v>350</v>
      </c>
      <c r="AB73" t="str">
        <f>HYPERLINK("https://images.diginfra.net/framed3.html?imagesetuuid=0359a1ea-7930-4de5-8687-7aa11d9043bd&amp;uri=https://images.diginfra.net/iiif/NL-HaNA_1.01.02/3848/NL-HaNA_1.01.02_3848_0227.jpg", "next_meeting_viewer_url")</f>
        <v>next_meeting_viewer_url</v>
      </c>
      <c r="AC73" t="str">
        <f>HYPERLINK("https://images.diginfra.net/iiif/NL-HaNA_1.01.02/3848/NL-HaNA_1.01.02_3848_0227.jpg/1222,1938,1045,1465/full/0/default.jpg", "next_meeting_iiif_url")</f>
        <v>next_meeting_iiif_url</v>
      </c>
    </row>
    <row r="74" spans="1:29" x14ac:dyDescent="0.2">
      <c r="A74" t="s">
        <v>351</v>
      </c>
      <c r="B74" t="s">
        <v>63</v>
      </c>
      <c r="D74" t="b">
        <v>0</v>
      </c>
      <c r="E74" t="b">
        <v>0</v>
      </c>
      <c r="F74">
        <v>1</v>
      </c>
      <c r="G74">
        <v>1</v>
      </c>
      <c r="J74">
        <v>3792</v>
      </c>
      <c r="K74">
        <v>165</v>
      </c>
      <c r="N74">
        <f t="shared" si="2"/>
        <v>330</v>
      </c>
      <c r="O74">
        <v>329</v>
      </c>
      <c r="P74">
        <v>1</v>
      </c>
      <c r="T74" t="str">
        <f>HYPERLINK("None", "viewer_url")</f>
        <v>viewer_url</v>
      </c>
      <c r="U74" t="str">
        <f>HYPERLINK("None", "iiif_url")</f>
        <v>iiif_url</v>
      </c>
      <c r="V74" t="s">
        <v>33</v>
      </c>
      <c r="W74" t="s">
        <v>352</v>
      </c>
      <c r="X74" t="str">
        <f>HYPERLINK("https://images.diginfra.net/framed3.html?imagesetuuid=507d79a4-2a42-4e84-afa5-a9ccb1e544fe&amp;uri=https://images.diginfra.net/iiif/NL-HaNA_1.01.02/3792/NL-HaNA_1.01.02_3792_0164.jpg", "prev_meeting_viewer_url")</f>
        <v>prev_meeting_viewer_url</v>
      </c>
      <c r="Y74" t="str">
        <f>HYPERLINK("https://images.diginfra.net/iiif/NL-HaNA_1.01.02/3792/NL-HaNA_1.01.02_3792_0164.jpg/3427,2092,1034,1414/full/0/default.jpg", "prev_meeting_iiif_url")</f>
        <v>prev_meeting_iiif_url</v>
      </c>
      <c r="Z74" t="s">
        <v>33</v>
      </c>
      <c r="AA74" t="s">
        <v>353</v>
      </c>
      <c r="AB74" t="str">
        <f>HYPERLINK("https://images.diginfra.net/framed3.html?imagesetuuid=507d79a4-2a42-4e84-afa5-a9ccb1e544fe&amp;uri=https://images.diginfra.net/iiif/NL-HaNA_1.01.02/3792/NL-HaNA_1.01.02_3792_0165.jpg", "next_meeting_viewer_url")</f>
        <v>next_meeting_viewer_url</v>
      </c>
      <c r="AC74" t="str">
        <f>HYPERLINK("https://images.diginfra.net/iiif/NL-HaNA_1.01.02/3792/NL-HaNA_1.01.02_3792_0165.jpg/3413,1422,1091,2022/full/0/default.jpg", "next_meeting_iiif_url")</f>
        <v>next_meeting_iiif_url</v>
      </c>
    </row>
    <row r="75" spans="1:29" x14ac:dyDescent="0.2">
      <c r="A75" t="s">
        <v>354</v>
      </c>
      <c r="B75" t="s">
        <v>37</v>
      </c>
      <c r="C75" t="s">
        <v>355</v>
      </c>
      <c r="D75" t="b">
        <v>1</v>
      </c>
      <c r="E75" t="b">
        <v>1</v>
      </c>
      <c r="F75">
        <v>1</v>
      </c>
      <c r="I75" t="s">
        <v>356</v>
      </c>
      <c r="J75">
        <v>3781</v>
      </c>
      <c r="K75">
        <v>45</v>
      </c>
      <c r="L75">
        <v>1216</v>
      </c>
      <c r="M75">
        <v>1478</v>
      </c>
      <c r="N75">
        <f t="shared" si="2"/>
        <v>90</v>
      </c>
      <c r="O75">
        <v>88</v>
      </c>
      <c r="P75">
        <v>1</v>
      </c>
      <c r="Q75">
        <v>0</v>
      </c>
      <c r="R75">
        <v>24</v>
      </c>
      <c r="S75" t="s">
        <v>33</v>
      </c>
      <c r="T75" t="str">
        <f>HYPERLINK("https://images.diginfra.net/framed3.html?imagesetuuid=7806433b-7f26-4d4e-8e76-37d108a188de&amp;uri=https://images.diginfra.net/iiif/NL-HaNA_1.01.02/3781/NL-HaNA_1.01.02_3781_0045.jpg", "viewer_url")</f>
        <v>viewer_url</v>
      </c>
      <c r="U75" t="str">
        <f>HYPERLINK("https://images.diginfra.net/iiif/NL-HaNA_1.01.02/3781/NL-HaNA_1.01.02_3781_0045.jpg/1216,1478,1103,1994/full/0/default.jpg", "iiif_url")</f>
        <v>iiif_url</v>
      </c>
      <c r="V75" t="s">
        <v>33</v>
      </c>
      <c r="W75" t="s">
        <v>357</v>
      </c>
      <c r="X75" t="str">
        <f>HYPERLINK("https://images.diginfra.net/framed3.html?imagesetuuid=7806433b-7f26-4d4e-8e76-37d108a188de&amp;uri=https://images.diginfra.net/iiif/NL-HaNA_1.01.02/3781/NL-HaNA_1.01.02_3781_0043.jpg", "prev_meeting_viewer_url")</f>
        <v>prev_meeting_viewer_url</v>
      </c>
      <c r="Y75" t="str">
        <f>HYPERLINK("https://images.diginfra.net/iiif/NL-HaNA_1.01.02/3781/NL-HaNA_1.01.02_3781_0043.jpg/2523,981,1087,2469/full/0/default.jpg", "prev_meeting_iiif_url")</f>
        <v>prev_meeting_iiif_url</v>
      </c>
      <c r="Z75" t="s">
        <v>33</v>
      </c>
      <c r="AA75" t="s">
        <v>358</v>
      </c>
      <c r="AB75" t="str">
        <f>HYPERLINK("https://images.diginfra.net/framed3.html?imagesetuuid=7806433b-7f26-4d4e-8e76-37d108a188de&amp;uri=https://images.diginfra.net/iiif/NL-HaNA_1.01.02/3781/NL-HaNA_1.01.02_3781_0046.jpg", "next_meeting_viewer_url")</f>
        <v>next_meeting_viewer_url</v>
      </c>
      <c r="AC75" t="str">
        <f>HYPERLINK("https://images.diginfra.net/iiif/NL-HaNA_1.01.02/3781/NL-HaNA_1.01.02_3781_0046.jpg/2557,1150,1082,2329/full/0/default.jpg", "next_meeting_iiif_url")</f>
        <v>next_meeting_iiif_url</v>
      </c>
    </row>
    <row r="76" spans="1:29" x14ac:dyDescent="0.2">
      <c r="A76" t="s">
        <v>359</v>
      </c>
      <c r="B76" t="s">
        <v>79</v>
      </c>
      <c r="C76" t="s">
        <v>360</v>
      </c>
      <c r="D76" t="b">
        <v>1</v>
      </c>
      <c r="E76" t="b">
        <v>1</v>
      </c>
      <c r="F76">
        <v>1</v>
      </c>
      <c r="I76" t="s">
        <v>361</v>
      </c>
      <c r="J76">
        <v>3788</v>
      </c>
      <c r="K76">
        <v>353</v>
      </c>
      <c r="L76">
        <v>2318</v>
      </c>
      <c r="M76">
        <v>1918</v>
      </c>
      <c r="N76">
        <f t="shared" si="2"/>
        <v>706</v>
      </c>
      <c r="O76">
        <v>705</v>
      </c>
      <c r="P76">
        <v>0</v>
      </c>
      <c r="Q76">
        <v>1</v>
      </c>
      <c r="R76">
        <v>0</v>
      </c>
      <c r="S76" t="s">
        <v>33</v>
      </c>
      <c r="T76" t="str">
        <f>HYPERLINK("https://images.diginfra.net/framed3.html?imagesetuuid=0c8f3037-13b3-45f2-b332-cb8940ab7c42&amp;uri=https://images.diginfra.net/iiif/NL-HaNA_1.01.02/3788/NL-HaNA_1.01.02_3788_0353.jpg", "viewer_url")</f>
        <v>viewer_url</v>
      </c>
      <c r="U76" t="str">
        <f>HYPERLINK("https://images.diginfra.net/iiif/NL-HaNA_1.01.02/3788/NL-HaNA_1.01.02_3788_0353.jpg/2318,1918,1092,1483/full/0/default.jpg", "iiif_url")</f>
        <v>iiif_url</v>
      </c>
      <c r="V76" t="s">
        <v>33</v>
      </c>
      <c r="W76" t="s">
        <v>362</v>
      </c>
      <c r="X76" t="str">
        <f>HYPERLINK("https://images.diginfra.net/framed3.html?imagesetuuid=0c8f3037-13b3-45f2-b332-cb8940ab7c42&amp;uri=https://images.diginfra.net/iiif/NL-HaNA_1.01.02/3788/NL-HaNA_1.01.02_3788_0352.jpg", "prev_meeting_viewer_url")</f>
        <v>prev_meeting_viewer_url</v>
      </c>
      <c r="Y76" t="str">
        <f>HYPERLINK("https://images.diginfra.net/iiif/NL-HaNA_1.01.02/3788/NL-HaNA_1.01.02_3788_0352.jpg/2353,2850,907,499/full/0/default.jpg", "prev_meeting_iiif_url")</f>
        <v>prev_meeting_iiif_url</v>
      </c>
      <c r="Z76" t="s">
        <v>33</v>
      </c>
      <c r="AA76" t="s">
        <v>363</v>
      </c>
      <c r="AB76" t="str">
        <f>HYPERLINK("https://images.diginfra.net/framed3.html?imagesetuuid=0c8f3037-13b3-45f2-b332-cb8940ab7c42&amp;uri=https://images.diginfra.net/iiif/NL-HaNA_1.01.02/3788/NL-HaNA_1.01.02_3788_0353.jpg", "next_meeting_viewer_url")</f>
        <v>next_meeting_viewer_url</v>
      </c>
      <c r="AC76" t="str">
        <f>HYPERLINK("https://images.diginfra.net/iiif/NL-HaNA_1.01.02/3788/NL-HaNA_1.01.02_3788_0353.jpg/3280,2366,1054,978/full/0/default.jpg", "next_meeting_iiif_url")</f>
        <v>next_meeting_iiif_url</v>
      </c>
    </row>
    <row r="77" spans="1:29" x14ac:dyDescent="0.2">
      <c r="A77" t="s">
        <v>364</v>
      </c>
      <c r="B77" t="s">
        <v>63</v>
      </c>
      <c r="D77" t="b">
        <v>0</v>
      </c>
      <c r="E77" t="b">
        <v>0</v>
      </c>
      <c r="F77">
        <v>1</v>
      </c>
      <c r="J77">
        <v>3844</v>
      </c>
      <c r="K77">
        <v>181</v>
      </c>
      <c r="N77">
        <f t="shared" si="2"/>
        <v>362</v>
      </c>
      <c r="O77">
        <v>361</v>
      </c>
      <c r="P77">
        <v>0</v>
      </c>
      <c r="T77" t="str">
        <f>HYPERLINK("None", "viewer_url")</f>
        <v>viewer_url</v>
      </c>
      <c r="U77" t="str">
        <f>HYPERLINK("None", "iiif_url")</f>
        <v>iiif_url</v>
      </c>
      <c r="V77" t="s">
        <v>33</v>
      </c>
      <c r="W77" t="s">
        <v>365</v>
      </c>
      <c r="X77" t="str">
        <f>HYPERLINK("https://images.diginfra.net/framed3.html?imagesetuuid=61690246-944a-4d63-9d72-95ab6a0a9306&amp;uri=https://images.diginfra.net/iiif/NL-HaNA_1.01.02/3844/NL-HaNA_1.01.02_3844_0180.jpg", "prev_meeting_viewer_url")</f>
        <v>prev_meeting_viewer_url</v>
      </c>
      <c r="Y77" t="str">
        <f>HYPERLINK("https://images.diginfra.net/iiif/NL-HaNA_1.01.02/3844/NL-HaNA_1.01.02_3844_0180.jpg/365,1693,1078,1713/full/0/default.jpg", "prev_meeting_iiif_url")</f>
        <v>prev_meeting_iiif_url</v>
      </c>
      <c r="Z77" t="s">
        <v>33</v>
      </c>
      <c r="AA77" t="s">
        <v>366</v>
      </c>
      <c r="AB77" t="str">
        <f>HYPERLINK("https://images.diginfra.net/framed3.html?imagesetuuid=61690246-944a-4d63-9d72-95ab6a0a9306&amp;uri=https://images.diginfra.net/iiif/NL-HaNA_1.01.02/3844/NL-HaNA_1.01.02_3844_0181.jpg", "next_meeting_viewer_url")</f>
        <v>next_meeting_viewer_url</v>
      </c>
      <c r="AC77" t="str">
        <f>HYPERLINK("https://images.diginfra.net/iiif/NL-HaNA_1.01.02/3844/NL-HaNA_1.01.02_3844_0181.jpg/1294,1073,1086,2313/full/0/default.jpg", "next_meeting_iiif_url")</f>
        <v>next_meeting_iiif_url</v>
      </c>
    </row>
    <row r="78" spans="1:29" x14ac:dyDescent="0.2">
      <c r="A78" t="s">
        <v>367</v>
      </c>
      <c r="B78" t="s">
        <v>37</v>
      </c>
      <c r="D78" t="b">
        <v>1</v>
      </c>
      <c r="E78" t="b">
        <v>1</v>
      </c>
      <c r="F78">
        <v>1</v>
      </c>
      <c r="I78" t="s">
        <v>368</v>
      </c>
      <c r="J78">
        <v>3783</v>
      </c>
      <c r="K78">
        <v>527</v>
      </c>
      <c r="L78">
        <v>1151</v>
      </c>
      <c r="M78">
        <v>445</v>
      </c>
      <c r="N78">
        <f t="shared" si="2"/>
        <v>1054</v>
      </c>
      <c r="O78">
        <v>1052</v>
      </c>
      <c r="P78">
        <v>1</v>
      </c>
      <c r="Q78">
        <v>0</v>
      </c>
      <c r="R78">
        <v>0</v>
      </c>
      <c r="S78" t="s">
        <v>33</v>
      </c>
      <c r="T78" t="str">
        <f>HYPERLINK("https://images.diginfra.net/framed3.html?imagesetuuid=67533019-4ca0-4b08-b87e-fd5590e7a077&amp;uri=https://images.diginfra.net/iiif/NL-HaNA_1.01.02/3783/NL-HaNA_1.01.02_3783_0527.jpg", "viewer_url")</f>
        <v>viewer_url</v>
      </c>
      <c r="U78" t="str">
        <f>HYPERLINK("https://images.diginfra.net/iiif/NL-HaNA_1.01.02/3783/NL-HaNA_1.01.02_3783_0527.jpg/1151,445,1138,2988/full/0/default.jpg", "iiif_url")</f>
        <v>iiif_url</v>
      </c>
      <c r="V78" t="s">
        <v>33</v>
      </c>
      <c r="W78" t="s">
        <v>369</v>
      </c>
      <c r="X78" t="str">
        <f>HYPERLINK("https://images.diginfra.net/framed3.html?imagesetuuid=67533019-4ca0-4b08-b87e-fd5590e7a077&amp;uri=https://images.diginfra.net/iiif/NL-HaNA_1.01.02/3783/NL-HaNA_1.01.02_3783_0526.jpg", "prev_meeting_viewer_url")</f>
        <v>prev_meeting_viewer_url</v>
      </c>
      <c r="Y78" t="str">
        <f>HYPERLINK("https://images.diginfra.net/iiif/NL-HaNA_1.01.02/3783/NL-HaNA_1.01.02_3783_0526.jpg/3269,708,1098,2763/full/0/default.jpg", "prev_meeting_iiif_url")</f>
        <v>prev_meeting_iiif_url</v>
      </c>
      <c r="Z78" t="s">
        <v>33</v>
      </c>
      <c r="AA78" t="s">
        <v>370</v>
      </c>
      <c r="AB78" t="str">
        <f>HYPERLINK("https://images.diginfra.net/framed3.html?imagesetuuid=67533019-4ca0-4b08-b87e-fd5590e7a077&amp;uri=https://images.diginfra.net/iiif/NL-HaNA_1.01.02/3783/NL-HaNA_1.01.02_3783_0527.jpg", "next_meeting_viewer_url")</f>
        <v>next_meeting_viewer_url</v>
      </c>
      <c r="AC78" t="str">
        <f>HYPERLINK("https://images.diginfra.net/iiif/NL-HaNA_1.01.02/3783/NL-HaNA_1.01.02_3783_0527.jpg/3347,2632,909,816/full/0/default.jpg", "next_meeting_iiif_url")</f>
        <v>next_meeting_iiif_url</v>
      </c>
    </row>
    <row r="79" spans="1:29" x14ac:dyDescent="0.2">
      <c r="A79" t="s">
        <v>371</v>
      </c>
      <c r="B79" t="s">
        <v>85</v>
      </c>
      <c r="C79" t="s">
        <v>372</v>
      </c>
      <c r="D79" t="b">
        <v>1</v>
      </c>
      <c r="E79" t="b">
        <v>1</v>
      </c>
      <c r="F79">
        <v>1</v>
      </c>
      <c r="I79" t="s">
        <v>373</v>
      </c>
      <c r="J79">
        <v>3851</v>
      </c>
      <c r="K79">
        <v>142</v>
      </c>
      <c r="L79">
        <v>3289</v>
      </c>
      <c r="M79">
        <v>2996</v>
      </c>
      <c r="N79">
        <f t="shared" si="2"/>
        <v>284</v>
      </c>
      <c r="O79">
        <v>283</v>
      </c>
      <c r="P79">
        <v>1</v>
      </c>
      <c r="Q79">
        <v>2</v>
      </c>
      <c r="R79">
        <v>0</v>
      </c>
      <c r="S79" t="s">
        <v>33</v>
      </c>
      <c r="T79" t="str">
        <f>HYPERLINK("https://images.diginfra.net/framed3.html?imagesetuuid=27660c50-4382-4d81-bab3-9b18ce5e4c3c&amp;uri=https://images.diginfra.net/iiif/NL-HaNA_1.01.02/3851/NL-HaNA_1.01.02_3851_0142.jpg", "viewer_url")</f>
        <v>viewer_url</v>
      </c>
      <c r="U79" t="str">
        <f>HYPERLINK("https://images.diginfra.net/iiif/NL-HaNA_1.01.02/3851/NL-HaNA_1.01.02_3851_0142.jpg/3289,2996,853,444/full/0/default.jpg", "iiif_url")</f>
        <v>iiif_url</v>
      </c>
      <c r="V79" t="s">
        <v>33</v>
      </c>
      <c r="W79" t="s">
        <v>374</v>
      </c>
      <c r="X79" t="str">
        <f>HYPERLINK("https://images.diginfra.net/framed3.html?imagesetuuid=27660c50-4382-4d81-bab3-9b18ce5e4c3c&amp;uri=https://images.diginfra.net/iiif/NL-HaNA_1.01.02/3851/NL-HaNA_1.01.02_3851_0140.jpg", "prev_meeting_viewer_url")</f>
        <v>prev_meeting_viewer_url</v>
      </c>
      <c r="Y79" t="str">
        <f>HYPERLINK("https://images.diginfra.net/iiif/NL-HaNA_1.01.02/3851/NL-HaNA_1.01.02_3851_0140.jpg/1244,2687,1017,747/full/0/default.jpg", "prev_meeting_iiif_url")</f>
        <v>prev_meeting_iiif_url</v>
      </c>
      <c r="Z79" t="s">
        <v>33</v>
      </c>
      <c r="AA79" t="s">
        <v>375</v>
      </c>
      <c r="AB79" t="str">
        <f>HYPERLINK("https://images.diginfra.net/framed3.html?imagesetuuid=27660c50-4382-4d81-bab3-9b18ce5e4c3c&amp;uri=https://images.diginfra.net/iiif/NL-HaNA_1.01.02/3851/NL-HaNA_1.01.02_3851_0145.jpg", "next_meeting_viewer_url")</f>
        <v>next_meeting_viewer_url</v>
      </c>
      <c r="AC79" t="str">
        <f>HYPERLINK("https://images.diginfra.net/iiif/NL-HaNA_1.01.02/3851/NL-HaNA_1.01.02_3851_0145.jpg/1124,856,1125,2541/full/0/default.jpg", "next_meeting_iiif_url")</f>
        <v>next_meeting_iiif_url</v>
      </c>
    </row>
    <row r="80" spans="1:29" x14ac:dyDescent="0.2">
      <c r="A80" t="s">
        <v>376</v>
      </c>
      <c r="B80" t="s">
        <v>30</v>
      </c>
      <c r="C80" t="s">
        <v>377</v>
      </c>
      <c r="D80" t="b">
        <v>1</v>
      </c>
      <c r="E80" t="b">
        <v>1</v>
      </c>
      <c r="F80">
        <v>1</v>
      </c>
      <c r="I80" t="s">
        <v>378</v>
      </c>
      <c r="J80">
        <v>3789</v>
      </c>
      <c r="K80">
        <v>346</v>
      </c>
      <c r="L80">
        <v>353</v>
      </c>
      <c r="M80">
        <v>2636</v>
      </c>
      <c r="N80">
        <f t="shared" si="2"/>
        <v>692</v>
      </c>
      <c r="O80">
        <v>690</v>
      </c>
      <c r="P80">
        <v>0</v>
      </c>
      <c r="Q80">
        <v>3</v>
      </c>
      <c r="R80">
        <v>0</v>
      </c>
      <c r="S80" t="s">
        <v>33</v>
      </c>
      <c r="T80" t="str">
        <f>HYPERLINK("https://images.diginfra.net/framed3.html?imagesetuuid=b2a3e6f4-5cd7-4539-b0af-036095fc5ec2&amp;uri=https://images.diginfra.net/iiif/NL-HaNA_1.01.02/3789/NL-HaNA_1.01.02_3789_0346.jpg", "viewer_url")</f>
        <v>viewer_url</v>
      </c>
      <c r="U80" t="str">
        <f>HYPERLINK("https://images.diginfra.net/iiif/NL-HaNA_1.01.02/3789/NL-HaNA_1.01.02_3789_0346.jpg/353,2636,1039,794/full/0/default.jpg", "iiif_url")</f>
        <v>iiif_url</v>
      </c>
      <c r="V80" t="s">
        <v>33</v>
      </c>
      <c r="W80" t="s">
        <v>379</v>
      </c>
      <c r="X80" t="str">
        <f>HYPERLINK("https://images.diginfra.net/framed3.html?imagesetuuid=b2a3e6f4-5cd7-4539-b0af-036095fc5ec2&amp;uri=https://images.diginfra.net/iiif/NL-HaNA_1.01.02/3789/NL-HaNA_1.01.02_3789_0344.jpg", "prev_meeting_viewer_url")</f>
        <v>prev_meeting_viewer_url</v>
      </c>
      <c r="Y80" t="str">
        <f>HYPERLINK("https://images.diginfra.net/iiif/NL-HaNA_1.01.02/3789/NL-HaNA_1.01.02_3789_0344.jpg/358,2404,1038,1014/full/0/default.jpg", "prev_meeting_iiif_url")</f>
        <v>prev_meeting_iiif_url</v>
      </c>
      <c r="Z80" t="s">
        <v>33</v>
      </c>
      <c r="AA80" t="s">
        <v>380</v>
      </c>
      <c r="AB80" t="str">
        <f>HYPERLINK("https://images.diginfra.net/framed3.html?imagesetuuid=b2a3e6f4-5cd7-4539-b0af-036095fc5ec2&amp;uri=https://images.diginfra.net/iiif/NL-HaNA_1.01.02/3789/NL-HaNA_1.01.02_3789_0346.jpg", "next_meeting_viewer_url")</f>
        <v>next_meeting_viewer_url</v>
      </c>
      <c r="AC80" t="str">
        <f>HYPERLINK("https://images.diginfra.net/iiif/NL-HaNA_1.01.02/3789/NL-HaNA_1.01.02_3789_0346.jpg/2470,1244,1092,1610/full/0/default.jpg", "next_meeting_iiif_url")</f>
        <v>next_meeting_iiif_url</v>
      </c>
    </row>
    <row r="81" spans="1:29" x14ac:dyDescent="0.2">
      <c r="A81" t="s">
        <v>381</v>
      </c>
      <c r="B81" t="s">
        <v>48</v>
      </c>
      <c r="C81" t="s">
        <v>382</v>
      </c>
      <c r="D81" t="b">
        <v>1</v>
      </c>
      <c r="E81" t="b">
        <v>1</v>
      </c>
      <c r="F81">
        <v>1</v>
      </c>
      <c r="G81">
        <v>1</v>
      </c>
      <c r="I81" t="s">
        <v>383</v>
      </c>
      <c r="J81">
        <v>3787</v>
      </c>
      <c r="K81">
        <v>223</v>
      </c>
      <c r="L81">
        <v>391</v>
      </c>
      <c r="M81">
        <v>3064</v>
      </c>
      <c r="N81">
        <f t="shared" si="2"/>
        <v>446</v>
      </c>
      <c r="O81">
        <v>444</v>
      </c>
      <c r="P81">
        <v>0</v>
      </c>
      <c r="Q81">
        <v>1</v>
      </c>
      <c r="R81">
        <v>0</v>
      </c>
      <c r="S81" t="s">
        <v>33</v>
      </c>
      <c r="T81" t="str">
        <f>HYPERLINK("https://images.diginfra.net/framed3.html?imagesetuuid=db7b00f7-0cd1-4078-9123-41ccf17bd821&amp;uri=https://images.diginfra.net/iiif/NL-HaNA_1.01.02/3787/NL-HaNA_1.01.02_3787_0223.jpg", "viewer_url")</f>
        <v>viewer_url</v>
      </c>
      <c r="U81" t="str">
        <f>HYPERLINK("https://images.diginfra.net/iiif/NL-HaNA_1.01.02/3787/NL-HaNA_1.01.02_3787_0223.jpg/391,3064,738,318/full/0/default.jpg", "iiif_url")</f>
        <v>iiif_url</v>
      </c>
      <c r="V81" t="s">
        <v>33</v>
      </c>
      <c r="W81" t="s">
        <v>384</v>
      </c>
      <c r="X81" t="str">
        <f>HYPERLINK("https://images.diginfra.net/framed3.html?imagesetuuid=db7b00f7-0cd1-4078-9123-41ccf17bd821&amp;uri=https://images.diginfra.net/iiif/NL-HaNA_1.01.02/3787/NL-HaNA_1.01.02_3787_0221.jpg", "prev_meeting_viewer_url")</f>
        <v>prev_meeting_viewer_url</v>
      </c>
      <c r="Y81" t="str">
        <f>HYPERLINK("https://images.diginfra.net/iiif/NL-HaNA_1.01.02/3787/NL-HaNA_1.01.02_3787_0221.jpg/312,2837,940,551/full/0/default.jpg", "prev_meeting_iiif_url")</f>
        <v>prev_meeting_iiif_url</v>
      </c>
      <c r="Z81" t="s">
        <v>33</v>
      </c>
      <c r="AA81" t="s">
        <v>385</v>
      </c>
      <c r="AB81" t="str">
        <f>HYPERLINK("https://images.diginfra.net/framed3.html?imagesetuuid=db7b00f7-0cd1-4078-9123-41ccf17bd821&amp;uri=https://images.diginfra.net/iiif/NL-HaNA_1.01.02/3787/NL-HaNA_1.01.02_3787_0224.jpg", "next_meeting_viewer_url")</f>
        <v>next_meeting_viewer_url</v>
      </c>
      <c r="AC81" t="str">
        <f>HYPERLINK("https://images.diginfra.net/iiif/NL-HaNA_1.01.02/3787/NL-HaNA_1.01.02_3787_0224.jpg/2313,1893,1074,1475/full/0/default.jpg", "next_meeting_iiif_url")</f>
        <v>next_meeting_iiif_url</v>
      </c>
    </row>
    <row r="82" spans="1:29" x14ac:dyDescent="0.2">
      <c r="A82" t="s">
        <v>386</v>
      </c>
      <c r="B82" t="s">
        <v>79</v>
      </c>
      <c r="C82" t="s">
        <v>387</v>
      </c>
      <c r="D82" t="b">
        <v>1</v>
      </c>
      <c r="E82" t="b">
        <v>1</v>
      </c>
      <c r="F82">
        <v>1</v>
      </c>
      <c r="H82" t="s">
        <v>2262</v>
      </c>
      <c r="J82">
        <v>3814</v>
      </c>
      <c r="K82">
        <v>314</v>
      </c>
      <c r="L82">
        <v>1329</v>
      </c>
      <c r="M82">
        <v>1060</v>
      </c>
      <c r="N82">
        <f t="shared" si="2"/>
        <v>628</v>
      </c>
      <c r="O82">
        <v>609</v>
      </c>
      <c r="P82">
        <v>0</v>
      </c>
      <c r="S82" t="s">
        <v>33</v>
      </c>
      <c r="T82" t="str">
        <f>HYPERLINK("https://images.diginfra.net/framed3.html?imagesetuuid=a95427fd-d131-4f1b-a2ee-069d038f458a&amp;uri=https://images.diginfra.net/iiif/NL-HaNA_1.01.02/3814/NL-HaNA_1.01.02_3814_0314.jpg", "viewer_url")</f>
        <v>viewer_url</v>
      </c>
      <c r="U82" t="str">
        <f>HYPERLINK("https://images.diginfra.net/iiif/NL-HaNA_1.01.02/3814/NL-HaNA_1.01.02_3814_0314.jpg/1329,1060,933,2247/full/0/default.jpg", "iiif_url")</f>
        <v>iiif_url</v>
      </c>
      <c r="V82" t="s">
        <v>33</v>
      </c>
      <c r="W82" t="s">
        <v>389</v>
      </c>
      <c r="X82" t="str">
        <f>HYPERLINK("https://images.diginfra.net/framed3.html?imagesetuuid=a95427fd-d131-4f1b-a2ee-069d038f458a&amp;uri=https://images.diginfra.net/iiif/NL-HaNA_1.01.02/3814/NL-HaNA_1.01.02_3814_0312.jpg", "prev_meeting_viewer_url")</f>
        <v>prev_meeting_viewer_url</v>
      </c>
      <c r="Y82" t="str">
        <f>HYPERLINK("https://images.diginfra.net/iiif/NL-HaNA_1.01.02/3814/NL-HaNA_1.01.02_3814_0312.jpg/2628,3071,721,263/full/0/default.jpg", "prev_meeting_iiif_url")</f>
        <v>prev_meeting_iiif_url</v>
      </c>
      <c r="Z82" t="s">
        <v>33</v>
      </c>
      <c r="AA82" t="s">
        <v>390</v>
      </c>
      <c r="AB82" t="str">
        <f>HYPERLINK("https://images.diginfra.net/framed3.html?imagesetuuid=a95427fd-d131-4f1b-a2ee-069d038f458a&amp;uri=https://images.diginfra.net/iiif/NL-HaNA_1.01.02/3814/NL-HaNA_1.01.02_3814_0316.jpg", "next_meeting_viewer_url")</f>
        <v>next_meeting_viewer_url</v>
      </c>
      <c r="AC82" t="str">
        <f>HYPERLINK("https://images.diginfra.net/iiif/NL-HaNA_1.01.02/3814/NL-HaNA_1.01.02_3814_0316.jpg/1281,2783,1043,593/full/0/default.jpg", "next_meeting_iiif_url")</f>
        <v>next_meeting_iiif_url</v>
      </c>
    </row>
    <row r="83" spans="1:29" x14ac:dyDescent="0.2">
      <c r="A83" t="s">
        <v>391</v>
      </c>
      <c r="B83" t="s">
        <v>30</v>
      </c>
      <c r="C83" t="s">
        <v>392</v>
      </c>
      <c r="D83" t="b">
        <v>1</v>
      </c>
      <c r="E83" t="b">
        <v>1</v>
      </c>
      <c r="F83">
        <v>1</v>
      </c>
      <c r="I83" t="s">
        <v>393</v>
      </c>
      <c r="J83">
        <v>3772</v>
      </c>
      <c r="K83">
        <v>303</v>
      </c>
      <c r="L83">
        <v>2500</v>
      </c>
      <c r="M83">
        <v>2208</v>
      </c>
      <c r="N83">
        <f t="shared" si="2"/>
        <v>606</v>
      </c>
      <c r="O83">
        <v>605</v>
      </c>
      <c r="P83">
        <v>0</v>
      </c>
      <c r="Q83">
        <v>2</v>
      </c>
      <c r="R83">
        <v>0</v>
      </c>
      <c r="S83" t="s">
        <v>33</v>
      </c>
      <c r="T83" t="str">
        <f>HYPERLINK("https://images.diginfra.net/framed3.html?imagesetuuid=7816564e-398d-48a2-b251-a02a50cc0b59&amp;uri=https://images.diginfra.net/iiif/NL-HaNA_1.01.02/3772/NL-HaNA_1.01.02_3772_0303.jpg", "viewer_url")</f>
        <v>viewer_url</v>
      </c>
      <c r="U83" t="str">
        <f>HYPERLINK("https://images.diginfra.net/iiif/NL-HaNA_1.01.02/3772/NL-HaNA_1.01.02_3772_0303.jpg/2500,2208,1032,1236/full/0/default.jpg", "iiif_url")</f>
        <v>iiif_url</v>
      </c>
      <c r="V83" t="s">
        <v>33</v>
      </c>
      <c r="W83" t="s">
        <v>394</v>
      </c>
      <c r="X83" t="str">
        <f>HYPERLINK("https://images.diginfra.net/framed3.html?imagesetuuid=7816564e-398d-48a2-b251-a02a50cc0b59&amp;uri=https://images.diginfra.net/iiif/NL-HaNA_1.01.02/3772/NL-HaNA_1.01.02_3772_0301.jpg", "prev_meeting_viewer_url")</f>
        <v>prev_meeting_viewer_url</v>
      </c>
      <c r="Y83" t="str">
        <f>HYPERLINK("https://images.diginfra.net/iiif/NL-HaNA_1.01.02/3772/NL-HaNA_1.01.02_3772_0301.jpg/2372,1266,1095,2193/full/0/default.jpg", "prev_meeting_iiif_url")</f>
        <v>prev_meeting_iiif_url</v>
      </c>
      <c r="Z83" t="s">
        <v>33</v>
      </c>
      <c r="AA83" t="s">
        <v>395</v>
      </c>
      <c r="AB83" t="str">
        <f>HYPERLINK("https://images.diginfra.net/framed3.html?imagesetuuid=7816564e-398d-48a2-b251-a02a50cc0b59&amp;uri=https://images.diginfra.net/iiif/NL-HaNA_1.01.02/3772/NL-HaNA_1.01.02_3772_0305.jpg", "next_meeting_viewer_url")</f>
        <v>next_meeting_viewer_url</v>
      </c>
      <c r="AC83" t="str">
        <f>HYPERLINK("https://images.diginfra.net/iiif/NL-HaNA_1.01.02/3772/NL-HaNA_1.01.02_3772_0305.jpg/2395,1146,1094,2285/full/0/default.jpg", "next_meeting_iiif_url")</f>
        <v>next_meeting_iiif_url</v>
      </c>
    </row>
    <row r="84" spans="1:29" x14ac:dyDescent="0.2">
      <c r="A84" t="s">
        <v>396</v>
      </c>
      <c r="B84" t="s">
        <v>59</v>
      </c>
      <c r="C84" t="s">
        <v>397</v>
      </c>
      <c r="D84" t="b">
        <v>1</v>
      </c>
      <c r="E84" t="b">
        <v>1</v>
      </c>
      <c r="F84">
        <v>1</v>
      </c>
      <c r="I84" t="s">
        <v>398</v>
      </c>
      <c r="J84">
        <v>3799</v>
      </c>
      <c r="K84">
        <v>100</v>
      </c>
      <c r="L84">
        <v>305</v>
      </c>
      <c r="M84">
        <v>257</v>
      </c>
      <c r="N84">
        <f t="shared" si="2"/>
        <v>200</v>
      </c>
      <c r="O84">
        <v>198</v>
      </c>
      <c r="P84">
        <v>0</v>
      </c>
      <c r="Q84">
        <v>0</v>
      </c>
      <c r="R84">
        <v>0</v>
      </c>
      <c r="S84" t="s">
        <v>33</v>
      </c>
      <c r="T84" t="str">
        <f>HYPERLINK("https://images.diginfra.net/framed3.html?imagesetuuid=4246d97e-5e7a-4171-b55e-14e0b73f61db&amp;uri=https://images.diginfra.net/iiif/NL-HaNA_1.01.02/3799/NL-HaNA_1.01.02_3799_0100.jpg", "viewer_url")</f>
        <v>viewer_url</v>
      </c>
      <c r="U84" t="str">
        <f>HYPERLINK("https://images.diginfra.net/iiif/NL-HaNA_1.01.02/3799/NL-HaNA_1.01.02_3799_0100.jpg/305,257,1086,3114/full/0/default.jpg", "iiif_url")</f>
        <v>iiif_url</v>
      </c>
      <c r="V84" t="s">
        <v>33</v>
      </c>
      <c r="W84" t="s">
        <v>399</v>
      </c>
      <c r="X84" t="str">
        <f>HYPERLINK("https://images.diginfra.net/framed3.html?imagesetuuid=4246d97e-5e7a-4171-b55e-14e0b73f61db&amp;uri=https://images.diginfra.net/iiif/NL-HaNA_1.01.02/3799/NL-HaNA_1.01.02_3799_0099.jpg", "prev_meeting_viewer_url")</f>
        <v>prev_meeting_viewer_url</v>
      </c>
      <c r="Y84" t="str">
        <f>HYPERLINK("https://images.diginfra.net/iiif/NL-HaNA_1.01.02/3799/NL-HaNA_1.01.02_3799_0099.jpg/313,559,1095,2817/full/0/default.jpg", "prev_meeting_iiif_url")</f>
        <v>prev_meeting_iiif_url</v>
      </c>
      <c r="Z84" t="s">
        <v>33</v>
      </c>
      <c r="AA84" t="s">
        <v>400</v>
      </c>
      <c r="AB84" t="str">
        <f>HYPERLINK("https://images.diginfra.net/framed3.html?imagesetuuid=4246d97e-5e7a-4171-b55e-14e0b73f61db&amp;uri=https://images.diginfra.net/iiif/NL-HaNA_1.01.02/3799/NL-HaNA_1.01.02_3799_0101.jpg", "next_meeting_viewer_url")</f>
        <v>next_meeting_viewer_url</v>
      </c>
      <c r="AC84" t="str">
        <f>HYPERLINK("https://images.diginfra.net/iiif/NL-HaNA_1.01.02/3799/NL-HaNA_1.01.02_3799_0101.jpg/2329,540,1083,2821/full/0/default.jpg", "next_meeting_iiif_url")</f>
        <v>next_meeting_iiif_url</v>
      </c>
    </row>
    <row r="85" spans="1:29" x14ac:dyDescent="0.2">
      <c r="A85" t="s">
        <v>401</v>
      </c>
      <c r="B85" t="s">
        <v>79</v>
      </c>
      <c r="D85" t="b">
        <v>1</v>
      </c>
      <c r="E85" t="b">
        <v>1</v>
      </c>
      <c r="F85">
        <v>1</v>
      </c>
      <c r="J85">
        <v>3845</v>
      </c>
      <c r="K85">
        <v>18</v>
      </c>
      <c r="L85">
        <v>1382</v>
      </c>
      <c r="M85">
        <v>1256</v>
      </c>
      <c r="N85">
        <f t="shared" si="2"/>
        <v>36</v>
      </c>
      <c r="O85">
        <v>34</v>
      </c>
      <c r="P85">
        <v>1</v>
      </c>
      <c r="T85" t="str">
        <f>HYPERLINK("None", "viewer_url")</f>
        <v>viewer_url</v>
      </c>
      <c r="U85" s="1" t="str">
        <f>HYPERLINK("https://images.diginfra.net/iiif/NL-HaNA_1.01.02/3845/NL-HaNA_1.01.02_3845_0018.jpg/1382,1256,930,2042/full/0/default.jpg", "iiif_url")</f>
        <v>iiif_url</v>
      </c>
      <c r="V85" t="s">
        <v>44</v>
      </c>
      <c r="W85" t="s">
        <v>402</v>
      </c>
      <c r="X85" t="str">
        <f>HYPERLINK("https://images.diginfra.net/framed3.html?imagesetuuid=365b5200-93cb-433b-b7cc-5e0bd70f223a&amp;uri=https://images.diginfra.net/iiif/NL-HaNA_1.01.02/3845/NL-HaNA_1.01.02_3845_0012.jpg", "prev_meeting_viewer_url")</f>
        <v>prev_meeting_viewer_url</v>
      </c>
      <c r="Y85" t="str">
        <f>HYPERLINK("https://images.diginfra.net/iiif/NL-HaNA_1.01.02/3845/NL-HaNA_1.01.02_3845_0012.jpg/1286,1224,1104,2108/full/0/default.jpg", "prev_meeting_iiif_url")</f>
        <v>prev_meeting_iiif_url</v>
      </c>
      <c r="Z85" t="s">
        <v>33</v>
      </c>
      <c r="AA85" t="s">
        <v>403</v>
      </c>
      <c r="AB85" t="str">
        <f>HYPERLINK("https://images.diginfra.net/framed3.html?imagesetuuid=365b5200-93cb-433b-b7cc-5e0bd70f223a&amp;uri=https://images.diginfra.net/iiif/NL-HaNA_1.01.02/3845/NL-HaNA_1.01.02_3845_0019.jpg", "next_meeting_viewer_url")</f>
        <v>next_meeting_viewer_url</v>
      </c>
      <c r="AC85" t="str">
        <f>HYPERLINK("https://images.diginfra.net/iiif/NL-HaNA_1.01.02/3845/NL-HaNA_1.01.02_3845_0019.jpg/2444,2480,1020,960/full/0/default.jpg", "next_meeting_iiif_url")</f>
        <v>next_meeting_iiif_url</v>
      </c>
    </row>
    <row r="86" spans="1:29" x14ac:dyDescent="0.2">
      <c r="A86" t="s">
        <v>404</v>
      </c>
      <c r="B86" t="s">
        <v>59</v>
      </c>
      <c r="D86" t="b">
        <v>0</v>
      </c>
      <c r="E86" t="b">
        <v>0</v>
      </c>
      <c r="F86">
        <v>1</v>
      </c>
      <c r="G86">
        <v>1</v>
      </c>
      <c r="J86">
        <v>3834</v>
      </c>
      <c r="K86">
        <v>170</v>
      </c>
      <c r="N86">
        <f t="shared" si="2"/>
        <v>340</v>
      </c>
      <c r="O86">
        <v>339</v>
      </c>
      <c r="P86">
        <v>0</v>
      </c>
      <c r="T86" t="str">
        <f>HYPERLINK("None", "viewer_url")</f>
        <v>viewer_url</v>
      </c>
      <c r="U86" t="str">
        <f>HYPERLINK("None", "iiif_url")</f>
        <v>iiif_url</v>
      </c>
      <c r="V86" t="s">
        <v>33</v>
      </c>
      <c r="W86" t="s">
        <v>405</v>
      </c>
      <c r="X86" t="str">
        <f>HYPERLINK("https://images.diginfra.net/framed3.html?imagesetuuid=bf11cd8e-e3f4-444c-9caa-dcdfd20137d7&amp;uri=https://images.diginfra.net/iiif/NL-HaNA_1.01.02/3834/NL-HaNA_1.01.02_3834_0170.jpg", "prev_meeting_viewer_url")</f>
        <v>prev_meeting_viewer_url</v>
      </c>
      <c r="Y86" t="str">
        <f>HYPERLINK("https://images.diginfra.net/iiif/NL-HaNA_1.01.02/3834/NL-HaNA_1.01.02_3834_0170.jpg/286,261,1088,3131/full/0/default.jpg", "prev_meeting_iiif_url")</f>
        <v>prev_meeting_iiif_url</v>
      </c>
      <c r="Z86" t="s">
        <v>44</v>
      </c>
      <c r="AA86" t="s">
        <v>406</v>
      </c>
      <c r="AB86" t="str">
        <f>HYPERLINK("https://images.diginfra.net/framed3.html?imagesetuuid=bf11cd8e-e3f4-444c-9caa-dcdfd20137d7&amp;uri=https://images.diginfra.net/iiif/NL-HaNA_1.01.02/3834/NL-HaNA_1.01.02_3834_0170.jpg", "next_meeting_viewer_url")</f>
        <v>next_meeting_viewer_url</v>
      </c>
      <c r="AC86" t="str">
        <f>HYPERLINK("https://images.diginfra.net/iiif/NL-HaNA_1.01.02/3834/NL-HaNA_1.01.02_3834_0170.jpg/2500,3051,854,317/full/0/default.jpg", "next_meeting_iiif_url")</f>
        <v>next_meeting_iiif_url</v>
      </c>
    </row>
    <row r="87" spans="1:29" x14ac:dyDescent="0.2">
      <c r="A87" t="s">
        <v>407</v>
      </c>
      <c r="B87" t="s">
        <v>48</v>
      </c>
      <c r="C87" t="s">
        <v>408</v>
      </c>
      <c r="D87" t="b">
        <v>1</v>
      </c>
      <c r="E87" t="b">
        <v>1</v>
      </c>
      <c r="F87">
        <v>1</v>
      </c>
      <c r="I87" t="s">
        <v>409</v>
      </c>
      <c r="J87">
        <v>3777</v>
      </c>
      <c r="K87">
        <v>82</v>
      </c>
      <c r="L87">
        <v>1310</v>
      </c>
      <c r="M87">
        <v>605</v>
      </c>
      <c r="N87">
        <f t="shared" si="2"/>
        <v>164</v>
      </c>
      <c r="O87">
        <v>162</v>
      </c>
      <c r="P87">
        <v>1</v>
      </c>
      <c r="Q87">
        <v>1</v>
      </c>
      <c r="R87">
        <v>0</v>
      </c>
      <c r="S87" t="s">
        <v>33</v>
      </c>
      <c r="T87" t="str">
        <f>HYPERLINK("https://images.diginfra.net/framed3.html?imagesetuuid=d79a5b0f-25ac-4440-9b23-adc237614d07&amp;uri=https://images.diginfra.net/iiif/NL-HaNA_1.01.02/3777/NL-HaNA_1.01.02_3777_0082.jpg", "viewer_url")</f>
        <v>viewer_url</v>
      </c>
      <c r="U87" t="str">
        <f>HYPERLINK("https://images.diginfra.net/iiif/NL-HaNA_1.01.02/3777/NL-HaNA_1.01.02_3777_0082.jpg/1310,605,1116,2734/full/0/default.jpg", "iiif_url")</f>
        <v>iiif_url</v>
      </c>
      <c r="V87" t="s">
        <v>33</v>
      </c>
      <c r="W87" t="s">
        <v>410</v>
      </c>
      <c r="X87" t="str">
        <f>HYPERLINK("https://images.diginfra.net/framed3.html?imagesetuuid=d79a5b0f-25ac-4440-9b23-adc237614d07&amp;uri=https://images.diginfra.net/iiif/NL-HaNA_1.01.02/3777/NL-HaNA_1.01.02_3777_0080.jpg", "prev_meeting_viewer_url")</f>
        <v>prev_meeting_viewer_url</v>
      </c>
      <c r="Y87" t="str">
        <f>HYPERLINK("https://images.diginfra.net/iiif/NL-HaNA_1.01.02/3777/NL-HaNA_1.01.02_3777_0080.jpg/2560,1556,1100,1814/full/0/default.jpg", "prev_meeting_iiif_url")</f>
        <v>prev_meeting_iiif_url</v>
      </c>
      <c r="Z87" t="s">
        <v>33</v>
      </c>
      <c r="AA87" t="s">
        <v>411</v>
      </c>
      <c r="AB87" t="str">
        <f>HYPERLINK("https://images.diginfra.net/framed3.html?imagesetuuid=d79a5b0f-25ac-4440-9b23-adc237614d07&amp;uri=https://images.diginfra.net/iiif/NL-HaNA_1.01.02/3777/NL-HaNA_1.01.02_3777_0084.jpg", "next_meeting_viewer_url")</f>
        <v>next_meeting_viewer_url</v>
      </c>
      <c r="AC87" t="str">
        <f>HYPERLINK("https://images.diginfra.net/iiif/NL-HaNA_1.01.02/3777/NL-HaNA_1.01.02_3777_0084.jpg/2585,1547,1106,1839/full/0/default.jpg", "next_meeting_iiif_url")</f>
        <v>next_meeting_iiif_url</v>
      </c>
    </row>
    <row r="88" spans="1:29" x14ac:dyDescent="0.2">
      <c r="A88" t="s">
        <v>412</v>
      </c>
      <c r="B88" t="s">
        <v>63</v>
      </c>
      <c r="D88" t="b">
        <v>0</v>
      </c>
      <c r="E88" t="b">
        <v>0</v>
      </c>
      <c r="F88">
        <v>1</v>
      </c>
      <c r="G88">
        <v>1</v>
      </c>
      <c r="J88">
        <v>3799</v>
      </c>
      <c r="K88">
        <v>71</v>
      </c>
      <c r="N88">
        <f t="shared" si="2"/>
        <v>142</v>
      </c>
      <c r="O88">
        <v>141</v>
      </c>
      <c r="P88">
        <v>0</v>
      </c>
      <c r="T88" t="str">
        <f>HYPERLINK("None", "viewer_url")</f>
        <v>viewer_url</v>
      </c>
      <c r="U88" t="str">
        <f>HYPERLINK("None", "iiif_url")</f>
        <v>iiif_url</v>
      </c>
      <c r="V88" t="s">
        <v>33</v>
      </c>
      <c r="W88" t="s">
        <v>413</v>
      </c>
      <c r="X88" t="str">
        <f>HYPERLINK("https://images.diginfra.net/framed3.html?imagesetuuid=4246d97e-5e7a-4171-b55e-14e0b73f61db&amp;uri=https://images.diginfra.net/iiif/NL-HaNA_1.01.02/3799/NL-HaNA_1.01.02_3799_0071.jpg", "prev_meeting_viewer_url")</f>
        <v>prev_meeting_viewer_url</v>
      </c>
      <c r="Y88" t="str">
        <f>HYPERLINK("https://images.diginfra.net/iiif/NL-HaNA_1.01.02/3799/NL-HaNA_1.01.02_3799_0071.jpg/421,1055,1095,2418/full/0/default.jpg", "prev_meeting_iiif_url")</f>
        <v>prev_meeting_iiif_url</v>
      </c>
      <c r="Z88" t="s">
        <v>33</v>
      </c>
      <c r="AA88" t="s">
        <v>414</v>
      </c>
      <c r="AB88" t="str">
        <f>HYPERLINK("https://images.diginfra.net/framed3.html?imagesetuuid=4246d97e-5e7a-4171-b55e-14e0b73f61db&amp;uri=https://images.diginfra.net/iiif/NL-HaNA_1.01.02/3799/NL-HaNA_1.01.02_3799_0071.jpg", "next_meeting_viewer_url")</f>
        <v>next_meeting_viewer_url</v>
      </c>
      <c r="AC88" t="str">
        <f>HYPERLINK("https://images.diginfra.net/iiif/NL-HaNA_1.01.02/3799/NL-HaNA_1.01.02_3799_0071.jpg/2527,3039,872,324/full/0/default.jpg", "next_meeting_iiif_url")</f>
        <v>next_meeting_iiif_url</v>
      </c>
    </row>
    <row r="89" spans="1:29" x14ac:dyDescent="0.2">
      <c r="A89" t="s">
        <v>415</v>
      </c>
      <c r="B89" t="s">
        <v>63</v>
      </c>
      <c r="D89" t="b">
        <v>0</v>
      </c>
      <c r="E89" t="b">
        <v>0</v>
      </c>
      <c r="F89">
        <v>1</v>
      </c>
      <c r="G89">
        <v>1</v>
      </c>
      <c r="J89">
        <v>3785</v>
      </c>
      <c r="K89">
        <v>311</v>
      </c>
      <c r="N89">
        <f t="shared" si="2"/>
        <v>622</v>
      </c>
      <c r="O89">
        <v>621</v>
      </c>
      <c r="P89">
        <v>0</v>
      </c>
      <c r="T89" t="str">
        <f>HYPERLINK("None", "viewer_url")</f>
        <v>viewer_url</v>
      </c>
      <c r="U89" t="str">
        <f>HYPERLINK("None", "iiif_url")</f>
        <v>iiif_url</v>
      </c>
      <c r="V89" t="s">
        <v>33</v>
      </c>
      <c r="W89" t="s">
        <v>416</v>
      </c>
      <c r="X89" t="str">
        <f>HYPERLINK("https://images.diginfra.net/framed3.html?imagesetuuid=88a314f7-936a-49fb-9ac3-0115764531f2&amp;uri=https://images.diginfra.net/iiif/NL-HaNA_1.01.02/3785/NL-HaNA_1.01.02_3785_0311.jpg", "prev_meeting_viewer_url")</f>
        <v>prev_meeting_viewer_url</v>
      </c>
      <c r="Y89" t="str">
        <f>HYPERLINK("https://images.diginfra.net/iiif/NL-HaNA_1.01.02/3785/NL-HaNA_1.01.02_3785_0311.jpg/166,2034,1124,1428/full/0/default.jpg", "prev_meeting_iiif_url")</f>
        <v>prev_meeting_iiif_url</v>
      </c>
      <c r="Z89" t="s">
        <v>33</v>
      </c>
      <c r="AA89" t="s">
        <v>417</v>
      </c>
      <c r="AB89" t="str">
        <f>HYPERLINK("https://images.diginfra.net/framed3.html?imagesetuuid=88a314f7-936a-49fb-9ac3-0115764531f2&amp;uri=https://images.diginfra.net/iiif/NL-HaNA_1.01.02/3785/NL-HaNA_1.01.02_3785_0311.jpg", "next_meeting_viewer_url")</f>
        <v>next_meeting_viewer_url</v>
      </c>
      <c r="AC89" t="str">
        <f>HYPERLINK("https://images.diginfra.net/iiif/NL-HaNA_1.01.02/3785/NL-HaNA_1.01.02_3785_0311.jpg/2458,563,1102,2876/full/0/default.jpg", "next_meeting_iiif_url")</f>
        <v>next_meeting_iiif_url</v>
      </c>
    </row>
    <row r="90" spans="1:29" x14ac:dyDescent="0.2">
      <c r="A90" t="s">
        <v>418</v>
      </c>
      <c r="B90" t="s">
        <v>85</v>
      </c>
      <c r="D90" t="b">
        <v>1</v>
      </c>
      <c r="E90" t="b">
        <v>1</v>
      </c>
      <c r="F90">
        <v>1</v>
      </c>
      <c r="I90" t="s">
        <v>419</v>
      </c>
      <c r="J90">
        <v>3800</v>
      </c>
      <c r="K90">
        <v>462</v>
      </c>
      <c r="L90">
        <v>1218</v>
      </c>
      <c r="M90">
        <v>340</v>
      </c>
      <c r="N90">
        <f t="shared" si="2"/>
        <v>924</v>
      </c>
      <c r="O90">
        <v>922</v>
      </c>
      <c r="P90">
        <v>1</v>
      </c>
      <c r="Q90">
        <v>0</v>
      </c>
      <c r="R90">
        <v>0</v>
      </c>
      <c r="S90" t="s">
        <v>33</v>
      </c>
      <c r="T90" t="str">
        <f>HYPERLINK("https://images.diginfra.net/framed3.html?imagesetuuid=a9adb8ed-3212-4745-a472-51257845b9e2&amp;uri=https://images.diginfra.net/iiif/NL-HaNA_1.01.02/3800/NL-HaNA_1.01.02_3800_0462.jpg", "viewer_url")</f>
        <v>viewer_url</v>
      </c>
      <c r="U90" t="str">
        <f>HYPERLINK("https://images.diginfra.net/iiif/NL-HaNA_1.01.02/3800/NL-HaNA_1.01.02_3800_0462.jpg/1218,340,1106,3028/full/0/default.jpg", "iiif_url")</f>
        <v>iiif_url</v>
      </c>
      <c r="V90" t="s">
        <v>33</v>
      </c>
      <c r="W90" t="s">
        <v>420</v>
      </c>
      <c r="X90" t="str">
        <f>HYPERLINK("https://images.diginfra.net/framed3.html?imagesetuuid=a9adb8ed-3212-4745-a472-51257845b9e2&amp;uri=https://images.diginfra.net/iiif/NL-HaNA_1.01.02/3800/NL-HaNA_1.01.02_3800_0460.jpg", "prev_meeting_viewer_url")</f>
        <v>prev_meeting_viewer_url</v>
      </c>
      <c r="Y90" t="str">
        <f>HYPERLINK("https://images.diginfra.net/iiif/NL-HaNA_1.01.02/3800/NL-HaNA_1.01.02_3800_0460.jpg/334,2746,1030,592/full/0/default.jpg", "prev_meeting_iiif_url")</f>
        <v>prev_meeting_iiif_url</v>
      </c>
      <c r="Z90" t="s">
        <v>33</v>
      </c>
      <c r="AA90" t="s">
        <v>421</v>
      </c>
      <c r="AB90" t="str">
        <f>HYPERLINK("https://images.diginfra.net/framed3.html?imagesetuuid=a9adb8ed-3212-4745-a472-51257845b9e2&amp;uri=https://images.diginfra.net/iiif/NL-HaNA_1.01.02/3800/NL-HaNA_1.01.02_3800_0463.jpg", "next_meeting_viewer_url")</f>
        <v>next_meeting_viewer_url</v>
      </c>
      <c r="AC90" t="str">
        <f>HYPERLINK("https://images.diginfra.net/iiif/NL-HaNA_1.01.02/3800/NL-HaNA_1.01.02_3800_0463.jpg/2341,1278,1088,2134/full/0/default.jpg", "next_meeting_iiif_url")</f>
        <v>next_meeting_iiif_url</v>
      </c>
    </row>
    <row r="91" spans="1:29" x14ac:dyDescent="0.2">
      <c r="A91" t="s">
        <v>422</v>
      </c>
      <c r="B91" t="s">
        <v>30</v>
      </c>
      <c r="C91" t="s">
        <v>423</v>
      </c>
      <c r="D91" t="b">
        <v>1</v>
      </c>
      <c r="E91" t="b">
        <v>1</v>
      </c>
      <c r="F91">
        <v>1</v>
      </c>
      <c r="I91" t="s">
        <v>424</v>
      </c>
      <c r="J91">
        <v>3828</v>
      </c>
      <c r="K91">
        <v>259</v>
      </c>
      <c r="L91">
        <v>2389</v>
      </c>
      <c r="M91">
        <v>1119</v>
      </c>
      <c r="N91">
        <f t="shared" si="2"/>
        <v>518</v>
      </c>
      <c r="O91">
        <v>517</v>
      </c>
      <c r="P91">
        <v>0</v>
      </c>
      <c r="Q91">
        <v>1</v>
      </c>
      <c r="R91">
        <v>0</v>
      </c>
      <c r="S91" t="s">
        <v>44</v>
      </c>
      <c r="T91" t="str">
        <f>HYPERLINK("https://images.diginfra.net/framed3.html?imagesetuuid=be73aab8-e683-41ef-8f90-2432e0a35eb8&amp;uri=https://images.diginfra.net/iiif/NL-HaNA_1.01.02/3828/NL-HaNA_1.01.02_3828_0259.jpg", "viewer_url")</f>
        <v>viewer_url</v>
      </c>
      <c r="U91" t="str">
        <f>HYPERLINK("https://images.diginfra.net/iiif/NL-HaNA_1.01.02/3828/NL-HaNA_1.01.02_3828_0259.jpg/2389,1119,1058,2052/full/0/default.jpg", "iiif_url")</f>
        <v>iiif_url</v>
      </c>
      <c r="V91" t="s">
        <v>33</v>
      </c>
      <c r="W91" t="s">
        <v>425</v>
      </c>
      <c r="X91" t="str">
        <f>HYPERLINK("https://images.diginfra.net/framed3.html?imagesetuuid=be73aab8-e683-41ef-8f90-2432e0a35eb8&amp;uri=https://images.diginfra.net/iiif/NL-HaNA_1.01.02/3828/NL-HaNA_1.01.02_3828_0257.jpg", "prev_meeting_viewer_url")</f>
        <v>prev_meeting_viewer_url</v>
      </c>
      <c r="Y91" t="str">
        <f>HYPERLINK("https://images.diginfra.net/iiif/NL-HaNA_1.01.02/3828/NL-HaNA_1.01.02_3828_0257.jpg/2422,1961,1019,1321/full/0/default.jpg", "prev_meeting_iiif_url")</f>
        <v>prev_meeting_iiif_url</v>
      </c>
    </row>
    <row r="92" spans="1:29" x14ac:dyDescent="0.2">
      <c r="A92" t="s">
        <v>426</v>
      </c>
      <c r="B92" t="s">
        <v>37</v>
      </c>
      <c r="C92" t="s">
        <v>427</v>
      </c>
      <c r="D92" t="b">
        <v>1</v>
      </c>
      <c r="E92" t="b">
        <v>1</v>
      </c>
      <c r="F92">
        <v>1</v>
      </c>
      <c r="I92" t="s">
        <v>428</v>
      </c>
      <c r="J92">
        <v>3835</v>
      </c>
      <c r="K92">
        <v>410</v>
      </c>
      <c r="L92">
        <v>2475</v>
      </c>
      <c r="M92">
        <v>2953</v>
      </c>
      <c r="N92">
        <f t="shared" si="2"/>
        <v>820</v>
      </c>
      <c r="O92">
        <v>819</v>
      </c>
      <c r="P92">
        <v>0</v>
      </c>
      <c r="Q92">
        <v>1</v>
      </c>
      <c r="R92">
        <v>0</v>
      </c>
      <c r="S92" t="s">
        <v>33</v>
      </c>
      <c r="T92" t="str">
        <f>HYPERLINK("https://images.diginfra.net/framed3.html?imagesetuuid=473594ee-2ab0-4fbf-9da7-0e9d12acef41&amp;uri=https://images.diginfra.net/iiif/NL-HaNA_1.01.02/3835/NL-HaNA_1.01.02_3835_0410.jpg", "viewer_url")</f>
        <v>viewer_url</v>
      </c>
      <c r="U92" t="str">
        <f>HYPERLINK("https://images.diginfra.net/iiif/NL-HaNA_1.01.02/3835/NL-HaNA_1.01.02_3835_0410.jpg/2475,2953,710,389/full/0/default.jpg", "iiif_url")</f>
        <v>iiif_url</v>
      </c>
      <c r="V92" t="s">
        <v>33</v>
      </c>
      <c r="W92" t="s">
        <v>429</v>
      </c>
      <c r="X92" t="str">
        <f>HYPERLINK("https://images.diginfra.net/framed3.html?imagesetuuid=473594ee-2ab0-4fbf-9da7-0e9d12acef41&amp;uri=https://images.diginfra.net/iiif/NL-HaNA_1.01.02/3835/NL-HaNA_1.01.02_3835_0410.jpg", "prev_meeting_viewer_url")</f>
        <v>prev_meeting_viewer_url</v>
      </c>
      <c r="Y92" t="str">
        <f>HYPERLINK("https://images.diginfra.net/iiif/NL-HaNA_1.01.02/3835/NL-HaNA_1.01.02_3835_0410.jpg/304,1363,1059,2037/full/0/default.jpg", "prev_meeting_iiif_url")</f>
        <v>prev_meeting_iiif_url</v>
      </c>
      <c r="Z92" t="s">
        <v>33</v>
      </c>
      <c r="AA92" t="s">
        <v>430</v>
      </c>
      <c r="AB92" t="str">
        <f>HYPERLINK("https://images.diginfra.net/framed3.html?imagesetuuid=473594ee-2ab0-4fbf-9da7-0e9d12acef41&amp;uri=https://images.diginfra.net/iiif/NL-HaNA_1.01.02/3835/NL-HaNA_1.01.02_3835_0412.jpg", "next_meeting_viewer_url")</f>
        <v>next_meeting_viewer_url</v>
      </c>
      <c r="AC92" t="str">
        <f>HYPERLINK("https://images.diginfra.net/iiif/NL-HaNA_1.01.02/3835/NL-HaNA_1.01.02_3835_0412.jpg/318,318,1079,3113/full/0/default.jpg", "next_meeting_iiif_url")</f>
        <v>next_meeting_iiif_url</v>
      </c>
    </row>
    <row r="93" spans="1:29" x14ac:dyDescent="0.2">
      <c r="A93" t="s">
        <v>431</v>
      </c>
      <c r="B93" t="s">
        <v>30</v>
      </c>
      <c r="C93" t="s">
        <v>432</v>
      </c>
      <c r="D93" t="b">
        <v>1</v>
      </c>
      <c r="E93" t="b">
        <v>1</v>
      </c>
      <c r="F93">
        <v>1</v>
      </c>
      <c r="I93" t="s">
        <v>433</v>
      </c>
      <c r="J93">
        <v>3761</v>
      </c>
      <c r="K93">
        <v>136</v>
      </c>
      <c r="L93">
        <v>1241</v>
      </c>
      <c r="M93">
        <v>524</v>
      </c>
      <c r="N93">
        <f t="shared" si="2"/>
        <v>272</v>
      </c>
      <c r="O93">
        <v>270</v>
      </c>
      <c r="P93">
        <v>1</v>
      </c>
      <c r="Q93">
        <v>1</v>
      </c>
      <c r="R93">
        <v>1</v>
      </c>
      <c r="S93" t="s">
        <v>33</v>
      </c>
      <c r="T93" t="str">
        <f>HYPERLINK("https://images.diginfra.net/framed3.html?imagesetuuid=e6c3b32f-6683-4b16-9444-37e515e232e1&amp;uri=https://images.diginfra.net/iiif/NL-HaNA_1.01.02/3761/NL-HaNA_1.01.02_3761_0136.jpg", "viewer_url")</f>
        <v>viewer_url</v>
      </c>
      <c r="U93" t="str">
        <f>HYPERLINK("https://images.diginfra.net/iiif/NL-HaNA_1.01.02/3761/NL-HaNA_1.01.02_3761_0136.jpg/1241,524,1097,2914/full/0/default.jpg", "iiif_url")</f>
        <v>iiif_url</v>
      </c>
      <c r="V93" t="s">
        <v>33</v>
      </c>
      <c r="W93" t="s">
        <v>434</v>
      </c>
      <c r="X93" t="str">
        <f>HYPERLINK("https://images.diginfra.net/framed3.html?imagesetuuid=e6c3b32f-6683-4b16-9444-37e515e232e1&amp;uri=https://images.diginfra.net/iiif/NL-HaNA_1.01.02/3761/NL-HaNA_1.01.02_3761_0132.jpg", "prev_meeting_viewer_url")</f>
        <v>prev_meeting_viewer_url</v>
      </c>
      <c r="Y93" t="str">
        <f>HYPERLINK("https://images.diginfra.net/iiif/NL-HaNA_1.01.02/3761/NL-HaNA_1.01.02_3761_0132.jpg/3323,682,1103,2677/full/0/default.jpg", "prev_meeting_iiif_url")</f>
        <v>prev_meeting_iiif_url</v>
      </c>
      <c r="Z93" t="s">
        <v>33</v>
      </c>
      <c r="AA93" t="s">
        <v>435</v>
      </c>
      <c r="AB93" t="str">
        <f>HYPERLINK("https://images.diginfra.net/framed3.html?imagesetuuid=e6c3b32f-6683-4b16-9444-37e515e232e1&amp;uri=https://images.diginfra.net/iiif/NL-HaNA_1.01.02/3761/NL-HaNA_1.01.02_3761_0139.jpg", "next_meeting_viewer_url")</f>
        <v>next_meeting_viewer_url</v>
      </c>
      <c r="AC93" t="str">
        <f>HYPERLINK("https://images.diginfra.net/iiif/NL-HaNA_1.01.02/3761/NL-HaNA_1.01.02_3761_0139.jpg/327,975,1100,2531/full/0/default.jpg", "next_meeting_iiif_url")</f>
        <v>next_meeting_iiif_url</v>
      </c>
    </row>
    <row r="94" spans="1:29" x14ac:dyDescent="0.2">
      <c r="A94" t="s">
        <v>436</v>
      </c>
      <c r="B94" t="s">
        <v>85</v>
      </c>
      <c r="C94" t="s">
        <v>437</v>
      </c>
      <c r="D94" t="b">
        <v>1</v>
      </c>
      <c r="E94" t="b">
        <v>1</v>
      </c>
      <c r="F94">
        <v>1</v>
      </c>
      <c r="I94" t="s">
        <v>438</v>
      </c>
      <c r="J94">
        <v>3812</v>
      </c>
      <c r="K94">
        <v>141</v>
      </c>
      <c r="L94">
        <v>1206</v>
      </c>
      <c r="M94">
        <v>595</v>
      </c>
      <c r="N94">
        <f t="shared" si="2"/>
        <v>282</v>
      </c>
      <c r="O94">
        <v>280</v>
      </c>
      <c r="P94">
        <v>1</v>
      </c>
      <c r="Q94">
        <v>1</v>
      </c>
      <c r="R94">
        <v>0</v>
      </c>
      <c r="S94" t="s">
        <v>33</v>
      </c>
      <c r="T94" t="str">
        <f>HYPERLINK("https://images.diginfra.net/framed3.html?imagesetuuid=2068053a-a1c4-40f9-a503-3778784a1420&amp;uri=https://images.diginfra.net/iiif/NL-HaNA_1.01.02/3812/NL-HaNA_1.01.02_3812_0141.jpg", "viewer_url")</f>
        <v>viewer_url</v>
      </c>
      <c r="U94" t="str">
        <f>HYPERLINK("https://images.diginfra.net/iiif/NL-HaNA_1.01.02/3812/NL-HaNA_1.01.02_3812_0141.jpg/1206,595,1109,2782/full/0/default.jpg", "iiif_url")</f>
        <v>iiif_url</v>
      </c>
      <c r="Z94" t="s">
        <v>33</v>
      </c>
      <c r="AA94" t="s">
        <v>439</v>
      </c>
      <c r="AB94" t="str">
        <f>HYPERLINK("https://images.diginfra.net/framed3.html?imagesetuuid=2068053a-a1c4-40f9-a503-3778784a1420&amp;uri=https://images.diginfra.net/iiif/NL-HaNA_1.01.02/3812/NL-HaNA_1.01.02_3812_0143.jpg", "next_meeting_viewer_url")</f>
        <v>next_meeting_viewer_url</v>
      </c>
      <c r="AC94" t="str">
        <f>HYPERLINK("https://images.diginfra.net/iiif/NL-HaNA_1.01.02/3812/NL-HaNA_1.01.02_3812_0143.jpg/3362,1128,1101,2279/full/0/default.jpg", "next_meeting_iiif_url")</f>
        <v>next_meeting_iiif_url</v>
      </c>
    </row>
    <row r="95" spans="1:29" x14ac:dyDescent="0.2">
      <c r="A95" t="s">
        <v>440</v>
      </c>
      <c r="B95" t="s">
        <v>37</v>
      </c>
      <c r="C95" t="s">
        <v>441</v>
      </c>
      <c r="D95" t="b">
        <v>1</v>
      </c>
      <c r="E95" t="b">
        <v>1</v>
      </c>
      <c r="F95">
        <v>1</v>
      </c>
      <c r="I95" t="s">
        <v>442</v>
      </c>
      <c r="J95">
        <v>3762</v>
      </c>
      <c r="K95">
        <v>282</v>
      </c>
      <c r="L95">
        <v>3403</v>
      </c>
      <c r="M95">
        <v>1753</v>
      </c>
      <c r="N95">
        <f t="shared" si="2"/>
        <v>564</v>
      </c>
      <c r="O95">
        <v>563</v>
      </c>
      <c r="P95">
        <v>1</v>
      </c>
      <c r="Q95">
        <v>0</v>
      </c>
      <c r="R95">
        <v>34</v>
      </c>
      <c r="S95" t="s">
        <v>33</v>
      </c>
      <c r="T95" t="str">
        <f>HYPERLINK("https://images.diginfra.net/framed3.html?imagesetuuid=df3dafee-b161-42ae-8ffe-6d7f9dbb63ed&amp;uri=https://images.diginfra.net/iiif/NL-HaNA_1.01.02/3762/NL-HaNA_1.01.02_3762_0282.jpg", "viewer_url")</f>
        <v>viewer_url</v>
      </c>
      <c r="U95" t="str">
        <f>HYPERLINK("https://images.diginfra.net/iiif/NL-HaNA_1.01.02/3762/NL-HaNA_1.01.02_3762_0282.jpg/3403,1753,1090,1610/full/0/default.jpg", "iiif_url")</f>
        <v>iiif_url</v>
      </c>
      <c r="V95" t="s">
        <v>33</v>
      </c>
      <c r="W95" t="s">
        <v>443</v>
      </c>
      <c r="X95" t="str">
        <f>HYPERLINK("https://images.diginfra.net/framed3.html?imagesetuuid=df3dafee-b161-42ae-8ffe-6d7f9dbb63ed&amp;uri=https://images.diginfra.net/iiif/NL-HaNA_1.01.02/3762/NL-HaNA_1.01.02_3762_0280.jpg", "prev_meeting_viewer_url")</f>
        <v>prev_meeting_viewer_url</v>
      </c>
      <c r="Y95" t="str">
        <f>HYPERLINK("https://images.diginfra.net/iiif/NL-HaNA_1.01.02/3762/NL-HaNA_1.01.02_3762_0280.jpg/2416,1150,1085,2256/full/0/default.jpg", "prev_meeting_iiif_url")</f>
        <v>prev_meeting_iiif_url</v>
      </c>
      <c r="Z95" t="s">
        <v>33</v>
      </c>
      <c r="AA95" t="s">
        <v>444</v>
      </c>
      <c r="AB95" t="str">
        <f>HYPERLINK("https://images.diginfra.net/framed3.html?imagesetuuid=df3dafee-b161-42ae-8ffe-6d7f9dbb63ed&amp;uri=https://images.diginfra.net/iiif/NL-HaNA_1.01.02/3762/NL-HaNA_1.01.02_3762_0284.jpg", "next_meeting_viewer_url")</f>
        <v>next_meeting_viewer_url</v>
      </c>
      <c r="AC95" t="str">
        <f>HYPERLINK("https://images.diginfra.net/iiif/NL-HaNA_1.01.02/3762/NL-HaNA_1.01.02_3762_0284.jpg/3441,2323,1037,988/full/0/default.jpg", "next_meeting_iiif_url")</f>
        <v>next_meeting_iiif_url</v>
      </c>
    </row>
    <row r="96" spans="1:29" x14ac:dyDescent="0.2">
      <c r="A96" t="s">
        <v>445</v>
      </c>
      <c r="B96" t="s">
        <v>63</v>
      </c>
      <c r="D96" t="b">
        <v>0</v>
      </c>
      <c r="E96" t="b">
        <v>0</v>
      </c>
      <c r="F96">
        <v>1</v>
      </c>
      <c r="G96">
        <v>1</v>
      </c>
      <c r="J96">
        <v>3772</v>
      </c>
      <c r="K96">
        <v>370</v>
      </c>
      <c r="N96">
        <f t="shared" si="2"/>
        <v>740</v>
      </c>
      <c r="O96">
        <v>738</v>
      </c>
      <c r="P96">
        <v>1</v>
      </c>
      <c r="T96" t="str">
        <f>HYPERLINK("None", "viewer_url")</f>
        <v>viewer_url</v>
      </c>
      <c r="U96" t="str">
        <f>HYPERLINK("None", "iiif_url")</f>
        <v>iiif_url</v>
      </c>
      <c r="V96" t="s">
        <v>33</v>
      </c>
      <c r="W96" t="s">
        <v>446</v>
      </c>
      <c r="X96" t="str">
        <f>HYPERLINK("https://images.diginfra.net/framed3.html?imagesetuuid=7816564e-398d-48a2-b251-a02a50cc0b59&amp;uri=https://images.diginfra.net/iiif/NL-HaNA_1.01.02/3772/NL-HaNA_1.01.02_3772_0368.jpg", "prev_meeting_viewer_url")</f>
        <v>prev_meeting_viewer_url</v>
      </c>
      <c r="Y96" t="str">
        <f>HYPERLINK("https://images.diginfra.net/iiif/NL-HaNA_1.01.02/3772/NL-HaNA_1.01.02_3772_0368.jpg/255,2854,1023,522/full/0/default.jpg", "prev_meeting_iiif_url")</f>
        <v>prev_meeting_iiif_url</v>
      </c>
      <c r="Z96" t="s">
        <v>33</v>
      </c>
      <c r="AA96" t="s">
        <v>447</v>
      </c>
      <c r="AB96" t="str">
        <f>HYPERLINK("https://images.diginfra.net/framed3.html?imagesetuuid=7816564e-398d-48a2-b251-a02a50cc0b59&amp;uri=https://images.diginfra.net/iiif/NL-HaNA_1.01.02/3772/NL-HaNA_1.01.02_3772_0370.jpg", "next_meeting_viewer_url")</f>
        <v>next_meeting_viewer_url</v>
      </c>
      <c r="AC96" t="str">
        <f>HYPERLINK("https://images.diginfra.net/iiif/NL-HaNA_1.01.02/3772/NL-HaNA_1.01.02_3772_0370.jpg/1168,1941,1105,1444/full/0/default.jpg", "next_meeting_iiif_url")</f>
        <v>next_meeting_iiif_url</v>
      </c>
    </row>
    <row r="97" spans="1:29" x14ac:dyDescent="0.2">
      <c r="A97" t="s">
        <v>448</v>
      </c>
      <c r="B97" t="s">
        <v>30</v>
      </c>
      <c r="C97" t="s">
        <v>449</v>
      </c>
      <c r="D97" t="b">
        <v>1</v>
      </c>
      <c r="E97" t="b">
        <v>1</v>
      </c>
      <c r="F97">
        <v>1</v>
      </c>
      <c r="I97" t="s">
        <v>450</v>
      </c>
      <c r="J97">
        <v>3841</v>
      </c>
      <c r="K97">
        <v>134</v>
      </c>
      <c r="L97">
        <v>2400</v>
      </c>
      <c r="M97">
        <v>1926</v>
      </c>
      <c r="N97">
        <f t="shared" si="2"/>
        <v>268</v>
      </c>
      <c r="O97">
        <v>267</v>
      </c>
      <c r="P97">
        <v>0</v>
      </c>
      <c r="Q97">
        <v>2</v>
      </c>
      <c r="R97">
        <v>0</v>
      </c>
      <c r="S97" t="s">
        <v>33</v>
      </c>
      <c r="T97" t="str">
        <f>HYPERLINK("https://images.diginfra.net/framed3.html?imagesetuuid=47881e95-07b9-4c17-8cf4-b55a034c8db2&amp;uri=https://images.diginfra.net/iiif/NL-HaNA_1.01.02/3841/NL-HaNA_1.01.02_3841_0134.jpg", "viewer_url")</f>
        <v>viewer_url</v>
      </c>
      <c r="U97" t="str">
        <f>HYPERLINK("https://images.diginfra.net/iiif/NL-HaNA_1.01.02/3841/NL-HaNA_1.01.02_3841_0134.jpg/2400,1926,1068,1468/full/0/default.jpg", "iiif_url")</f>
        <v>iiif_url</v>
      </c>
      <c r="V97" t="s">
        <v>33</v>
      </c>
      <c r="W97" t="s">
        <v>451</v>
      </c>
      <c r="X97" t="str">
        <f>HYPERLINK("https://images.diginfra.net/framed3.html?imagesetuuid=47881e95-07b9-4c17-8cf4-b55a034c8db2&amp;uri=https://images.diginfra.net/iiif/NL-HaNA_1.01.02/3841/NL-HaNA_1.01.02_3841_0133.jpg", "prev_meeting_viewer_url")</f>
        <v>prev_meeting_viewer_url</v>
      </c>
      <c r="Y97" t="str">
        <f>HYPERLINK("https://images.diginfra.net/iiif/NL-HaNA_1.01.02/3841/NL-HaNA_1.01.02_3841_0133.jpg/3286,260,1085,3033/full/0/default.jpg", "prev_meeting_iiif_url")</f>
        <v>prev_meeting_iiif_url</v>
      </c>
      <c r="Z97" t="s">
        <v>44</v>
      </c>
      <c r="AA97" t="s">
        <v>452</v>
      </c>
      <c r="AB97" t="str">
        <f>HYPERLINK("https://images.diginfra.net/framed3.html?imagesetuuid=47881e95-07b9-4c17-8cf4-b55a034c8db2&amp;uri=https://images.diginfra.net/iiif/NL-HaNA_1.01.02/3841/NL-HaNA_1.01.02_3841_0135.jpg", "next_meeting_viewer_url")</f>
        <v>next_meeting_viewer_url</v>
      </c>
      <c r="AC97" t="str">
        <f>HYPERLINK("https://images.diginfra.net/iiif/NL-HaNA_1.01.02/3841/NL-HaNA_1.01.02_3841_0135.jpg/2389,2759,1025,672/full/0/default.jpg", "next_meeting_iiif_url")</f>
        <v>next_meeting_iiif_url</v>
      </c>
    </row>
    <row r="98" spans="1:29" x14ac:dyDescent="0.2">
      <c r="A98" t="s">
        <v>453</v>
      </c>
      <c r="B98" t="s">
        <v>48</v>
      </c>
      <c r="C98" t="s">
        <v>454</v>
      </c>
      <c r="D98" t="b">
        <v>1</v>
      </c>
      <c r="E98" t="b">
        <v>1</v>
      </c>
      <c r="F98">
        <v>1</v>
      </c>
      <c r="I98" t="s">
        <v>455</v>
      </c>
      <c r="J98">
        <v>3775</v>
      </c>
      <c r="K98">
        <v>347</v>
      </c>
      <c r="L98">
        <v>1241</v>
      </c>
      <c r="M98">
        <v>1723</v>
      </c>
      <c r="N98">
        <f t="shared" ref="N98:N129" si="3">K98*2</f>
        <v>694</v>
      </c>
      <c r="O98">
        <v>692</v>
      </c>
      <c r="P98">
        <v>1</v>
      </c>
      <c r="Q98">
        <v>2</v>
      </c>
      <c r="R98">
        <v>0</v>
      </c>
      <c r="S98" t="s">
        <v>33</v>
      </c>
      <c r="T98" t="str">
        <f>HYPERLINK("https://images.diginfra.net/framed3.html?imagesetuuid=e344f420-8808-4cb9-bb8a-07944ccb8c18&amp;uri=https://images.diginfra.net/iiif/NL-HaNA_1.01.02/3775/NL-HaNA_1.01.02_3775_0347.jpg", "viewer_url")</f>
        <v>viewer_url</v>
      </c>
      <c r="U98" t="str">
        <f>HYPERLINK("https://images.diginfra.net/iiif/NL-HaNA_1.01.02/3775/NL-HaNA_1.01.02_3775_0347.jpg/1241,1723,994,1521/full/0/default.jpg", "iiif_url")</f>
        <v>iiif_url</v>
      </c>
      <c r="V98" t="s">
        <v>33</v>
      </c>
      <c r="W98" t="s">
        <v>456</v>
      </c>
      <c r="X98" t="str">
        <f>HYPERLINK("https://images.diginfra.net/framed3.html?imagesetuuid=e344f420-8808-4cb9-bb8a-07944ccb8c18&amp;uri=https://images.diginfra.net/iiif/NL-HaNA_1.01.02/3775/NL-HaNA_1.01.02_3775_0346.jpg", "prev_meeting_viewer_url")</f>
        <v>prev_meeting_viewer_url</v>
      </c>
      <c r="Y98" t="str">
        <f>HYPERLINK("https://images.diginfra.net/iiif/NL-HaNA_1.01.02/3775/NL-HaNA_1.01.02_3775_0346.jpg/1278,2754,982,620/full/0/default.jpg", "prev_meeting_iiif_url")</f>
        <v>prev_meeting_iiif_url</v>
      </c>
      <c r="Z98" t="s">
        <v>33</v>
      </c>
      <c r="AA98" t="s">
        <v>457</v>
      </c>
      <c r="AB98" t="str">
        <f>HYPERLINK("https://images.diginfra.net/framed3.html?imagesetuuid=e344f420-8808-4cb9-bb8a-07944ccb8c18&amp;uri=https://images.diginfra.net/iiif/NL-HaNA_1.01.02/3775/NL-HaNA_1.01.02_3775_0349.jpg", "next_meeting_viewer_url")</f>
        <v>next_meeting_viewer_url</v>
      </c>
      <c r="AC98" t="str">
        <f>HYPERLINK("https://images.diginfra.net/iiif/NL-HaNA_1.01.02/3775/NL-HaNA_1.01.02_3775_0349.jpg/260,2069,1089,1318/full/0/default.jpg", "next_meeting_iiif_url")</f>
        <v>next_meeting_iiif_url</v>
      </c>
    </row>
    <row r="99" spans="1:29" x14ac:dyDescent="0.2">
      <c r="A99" t="s">
        <v>458</v>
      </c>
      <c r="B99" t="s">
        <v>79</v>
      </c>
      <c r="C99" t="s">
        <v>459</v>
      </c>
      <c r="D99" t="b">
        <v>1</v>
      </c>
      <c r="E99" t="b">
        <v>1</v>
      </c>
      <c r="F99">
        <v>1</v>
      </c>
      <c r="I99" t="s">
        <v>460</v>
      </c>
      <c r="J99">
        <v>3841</v>
      </c>
      <c r="K99">
        <v>78</v>
      </c>
      <c r="L99">
        <v>1243</v>
      </c>
      <c r="M99">
        <v>2102</v>
      </c>
      <c r="N99">
        <f t="shared" si="3"/>
        <v>156</v>
      </c>
      <c r="O99">
        <v>154</v>
      </c>
      <c r="P99">
        <v>1</v>
      </c>
      <c r="Q99">
        <v>2</v>
      </c>
      <c r="R99">
        <v>15</v>
      </c>
      <c r="S99" t="s">
        <v>33</v>
      </c>
      <c r="T99" t="str">
        <f>HYPERLINK("https://images.diginfra.net/framed3.html?imagesetuuid=47881e95-07b9-4c17-8cf4-b55a034c8db2&amp;uri=https://images.diginfra.net/iiif/NL-HaNA_1.01.02/3841/NL-HaNA_1.01.02_3841_0078.jpg", "viewer_url")</f>
        <v>viewer_url</v>
      </c>
      <c r="U99" t="str">
        <f>HYPERLINK("https://images.diginfra.net/iiif/NL-HaNA_1.01.02/3841/NL-HaNA_1.01.02_3841_0078.jpg/1243,2102,1087,1275/full/0/default.jpg", "iiif_url")</f>
        <v>iiif_url</v>
      </c>
      <c r="V99" t="s">
        <v>33</v>
      </c>
      <c r="W99" t="s">
        <v>461</v>
      </c>
      <c r="X99" t="str">
        <f>HYPERLINK("https://images.diginfra.net/framed3.html?imagesetuuid=47881e95-07b9-4c17-8cf4-b55a034c8db2&amp;uri=https://images.diginfra.net/iiif/NL-HaNA_1.01.02/3841/NL-HaNA_1.01.02_3841_0077.jpg", "prev_meeting_viewer_url")</f>
        <v>prev_meeting_viewer_url</v>
      </c>
      <c r="Y99" t="str">
        <f>HYPERLINK("https://images.diginfra.net/iiif/NL-HaNA_1.01.02/3841/NL-HaNA_1.01.02_3841_0077.jpg/3378,1153,1083,2178/full/0/default.jpg", "prev_meeting_iiif_url")</f>
        <v>prev_meeting_iiif_url</v>
      </c>
      <c r="Z99" t="s">
        <v>33</v>
      </c>
      <c r="AA99" t="s">
        <v>462</v>
      </c>
      <c r="AB99" t="str">
        <f>HYPERLINK("https://images.diginfra.net/framed3.html?imagesetuuid=47881e95-07b9-4c17-8cf4-b55a034c8db2&amp;uri=https://images.diginfra.net/iiif/NL-HaNA_1.01.02/3841/NL-HaNA_1.01.02_3841_0081.jpg", "next_meeting_viewer_url")</f>
        <v>next_meeting_viewer_url</v>
      </c>
      <c r="AC99" t="str">
        <f>HYPERLINK("https://images.diginfra.net/iiif/NL-HaNA_1.01.02/3841/NL-HaNA_1.01.02_3841_0081.jpg/332,601,1079,1723/full/0/default.jpg", "next_meeting_iiif_url")</f>
        <v>next_meeting_iiif_url</v>
      </c>
    </row>
    <row r="100" spans="1:29" x14ac:dyDescent="0.2">
      <c r="A100" t="s">
        <v>463</v>
      </c>
      <c r="B100" t="s">
        <v>37</v>
      </c>
      <c r="C100" t="s">
        <v>464</v>
      </c>
      <c r="D100" t="b">
        <v>1</v>
      </c>
      <c r="E100" t="b">
        <v>1</v>
      </c>
      <c r="F100">
        <v>1</v>
      </c>
      <c r="I100" t="s">
        <v>465</v>
      </c>
      <c r="J100">
        <v>3785</v>
      </c>
      <c r="K100">
        <v>53</v>
      </c>
      <c r="L100">
        <v>3325</v>
      </c>
      <c r="M100">
        <v>496</v>
      </c>
      <c r="N100">
        <f t="shared" si="3"/>
        <v>106</v>
      </c>
      <c r="O100">
        <v>105</v>
      </c>
      <c r="P100">
        <v>1</v>
      </c>
      <c r="Q100">
        <v>1</v>
      </c>
      <c r="R100">
        <v>0</v>
      </c>
      <c r="S100" t="s">
        <v>33</v>
      </c>
      <c r="T100" t="str">
        <f>HYPERLINK("https://images.diginfra.net/framed3.html?imagesetuuid=88a314f7-936a-49fb-9ac3-0115764531f2&amp;uri=https://images.diginfra.net/iiif/NL-HaNA_1.01.02/3785/NL-HaNA_1.01.02_3785_0053.jpg", "viewer_url")</f>
        <v>viewer_url</v>
      </c>
      <c r="U100" t="str">
        <f>HYPERLINK("https://images.diginfra.net/iiif/NL-HaNA_1.01.02/3785/NL-HaNA_1.01.02_3785_0053.jpg/3325,496,1098,2835/full/0/default.jpg", "iiif_url")</f>
        <v>iiif_url</v>
      </c>
      <c r="V100" t="s">
        <v>33</v>
      </c>
      <c r="W100" t="s">
        <v>466</v>
      </c>
      <c r="X100" t="str">
        <f>HYPERLINK("https://images.diginfra.net/framed3.html?imagesetuuid=88a314f7-936a-49fb-9ac3-0115764531f2&amp;uri=https://images.diginfra.net/iiif/NL-HaNA_1.01.02/3785/NL-HaNA_1.01.02_3785_0053.jpg", "prev_meeting_viewer_url")</f>
        <v>prev_meeting_viewer_url</v>
      </c>
      <c r="Y100" t="str">
        <f>HYPERLINK("https://images.diginfra.net/iiif/NL-HaNA_1.01.02/3785/NL-HaNA_1.01.02_3785_0053.jpg/226,2804,1034,580/full/0/default.jpg", "prev_meeting_iiif_url")</f>
        <v>prev_meeting_iiif_url</v>
      </c>
      <c r="Z100" t="s">
        <v>33</v>
      </c>
      <c r="AA100" t="s">
        <v>467</v>
      </c>
      <c r="AB100" t="str">
        <f>HYPERLINK("https://images.diginfra.net/framed3.html?imagesetuuid=88a314f7-936a-49fb-9ac3-0115764531f2&amp;uri=https://images.diginfra.net/iiif/NL-HaNA_1.01.02/3785/NL-HaNA_1.01.02_3785_0055.jpg", "next_meeting_viewer_url")</f>
        <v>next_meeting_viewer_url</v>
      </c>
      <c r="AC100" t="str">
        <f>HYPERLINK("https://images.diginfra.net/iiif/NL-HaNA_1.01.02/3785/NL-HaNA_1.01.02_3785_0055.jpg/217,786,1097,2666/full/0/default.jpg", "next_meeting_iiif_url")</f>
        <v>next_meeting_iiif_url</v>
      </c>
    </row>
    <row r="101" spans="1:29" x14ac:dyDescent="0.2">
      <c r="A101" t="s">
        <v>468</v>
      </c>
      <c r="B101" t="s">
        <v>48</v>
      </c>
      <c r="C101" t="s">
        <v>469</v>
      </c>
      <c r="D101" t="b">
        <v>1</v>
      </c>
      <c r="E101" t="b">
        <v>1</v>
      </c>
      <c r="F101">
        <v>1</v>
      </c>
      <c r="I101" t="s">
        <v>470</v>
      </c>
      <c r="J101">
        <v>3801</v>
      </c>
      <c r="K101">
        <v>80</v>
      </c>
      <c r="L101">
        <v>2412</v>
      </c>
      <c r="M101">
        <v>2095</v>
      </c>
      <c r="N101">
        <f t="shared" si="3"/>
        <v>160</v>
      </c>
      <c r="O101">
        <v>159</v>
      </c>
      <c r="P101">
        <v>0</v>
      </c>
      <c r="Q101">
        <v>3</v>
      </c>
      <c r="R101">
        <v>0</v>
      </c>
      <c r="S101" t="s">
        <v>33</v>
      </c>
      <c r="T101" t="str">
        <f>HYPERLINK("https://images.diginfra.net/framed3.html?imagesetuuid=f36c8416-59a8-4b1a-a82a-ef225cbd1971&amp;uri=https://images.diginfra.net/iiif/NL-HaNA_1.01.02/3801/NL-HaNA_1.01.02_3801_0080.jpg", "viewer_url")</f>
        <v>viewer_url</v>
      </c>
      <c r="U101" t="str">
        <f>HYPERLINK("https://images.diginfra.net/iiif/NL-HaNA_1.01.02/3801/NL-HaNA_1.01.02_3801_0080.jpg/2412,2095,1033,1278/full/0/default.jpg", "iiif_url")</f>
        <v>iiif_url</v>
      </c>
      <c r="V101" t="s">
        <v>33</v>
      </c>
      <c r="W101" t="s">
        <v>471</v>
      </c>
      <c r="X101" t="str">
        <f>HYPERLINK("https://images.diginfra.net/framed3.html?imagesetuuid=f36c8416-59a8-4b1a-a82a-ef225cbd1971&amp;uri=https://images.diginfra.net/iiif/NL-HaNA_1.01.02/3801/NL-HaNA_1.01.02_3801_0078.jpg", "prev_meeting_viewer_url")</f>
        <v>prev_meeting_viewer_url</v>
      </c>
      <c r="Y101" t="str">
        <f>HYPERLINK("https://images.diginfra.net/iiif/NL-HaNA_1.01.02/3801/NL-HaNA_1.01.02_3801_0078.jpg/286,744,1087,2638/full/0/default.jpg", "prev_meeting_iiif_url")</f>
        <v>prev_meeting_iiif_url</v>
      </c>
      <c r="Z101" t="s">
        <v>33</v>
      </c>
      <c r="AA101" t="s">
        <v>472</v>
      </c>
      <c r="AB101" t="str">
        <f>HYPERLINK("https://images.diginfra.net/framed3.html?imagesetuuid=f36c8416-59a8-4b1a-a82a-ef225cbd1971&amp;uri=https://images.diginfra.net/iiif/NL-HaNA_1.01.02/3801/NL-HaNA_1.01.02_3801_0082.jpg", "next_meeting_viewer_url")</f>
        <v>next_meeting_viewer_url</v>
      </c>
      <c r="AC101" t="str">
        <f>HYPERLINK("https://images.diginfra.net/iiif/NL-HaNA_1.01.02/3801/NL-HaNA_1.01.02_3801_0082.jpg/1237,1849,1091,1473/full/0/default.jpg", "next_meeting_iiif_url")</f>
        <v>next_meeting_iiif_url</v>
      </c>
    </row>
    <row r="102" spans="1:29" x14ac:dyDescent="0.2">
      <c r="A102" t="s">
        <v>473</v>
      </c>
      <c r="B102" t="s">
        <v>79</v>
      </c>
      <c r="C102" t="s">
        <v>474</v>
      </c>
      <c r="D102" t="b">
        <v>1</v>
      </c>
      <c r="E102" t="b">
        <v>1</v>
      </c>
      <c r="F102">
        <v>1</v>
      </c>
      <c r="I102" t="s">
        <v>475</v>
      </c>
      <c r="J102">
        <v>3771</v>
      </c>
      <c r="K102">
        <v>201</v>
      </c>
      <c r="L102">
        <v>290</v>
      </c>
      <c r="M102">
        <v>2329</v>
      </c>
      <c r="N102">
        <f t="shared" si="3"/>
        <v>402</v>
      </c>
      <c r="O102">
        <v>400</v>
      </c>
      <c r="P102">
        <v>0</v>
      </c>
      <c r="Q102">
        <v>2</v>
      </c>
      <c r="R102">
        <v>0</v>
      </c>
      <c r="S102" t="s">
        <v>33</v>
      </c>
      <c r="T102" t="str">
        <f>HYPERLINK("https://images.diginfra.net/framed3.html?imagesetuuid=16b7bf4c-5e05-4e5e-b109-cf178ead6c3f&amp;uri=https://images.diginfra.net/iiif/NL-HaNA_1.01.02/3771/NL-HaNA_1.01.02_3771_0201.jpg", "viewer_url")</f>
        <v>viewer_url</v>
      </c>
      <c r="U102" t="str">
        <f>HYPERLINK("https://images.diginfra.net/iiif/NL-HaNA_1.01.02/3771/NL-HaNA_1.01.02_3771_0201.jpg/290,2329,1026,1092/full/0/default.jpg", "iiif_url")</f>
        <v>iiif_url</v>
      </c>
      <c r="V102" t="s">
        <v>33</v>
      </c>
      <c r="W102" t="s">
        <v>476</v>
      </c>
      <c r="X102" t="str">
        <f>HYPERLINK("https://images.diginfra.net/framed3.html?imagesetuuid=16b7bf4c-5e05-4e5e-b109-cf178ead6c3f&amp;uri=https://images.diginfra.net/iiif/NL-HaNA_1.01.02/3771/NL-HaNA_1.01.02_3771_0197.jpg", "prev_meeting_viewer_url")</f>
        <v>prev_meeting_viewer_url</v>
      </c>
      <c r="Y102" t="str">
        <f>HYPERLINK("https://images.diginfra.net/iiif/NL-HaNA_1.01.02/3771/NL-HaNA_1.01.02_3771_0197.jpg/233,354,1094,3107/full/0/default.jpg", "prev_meeting_iiif_url")</f>
        <v>prev_meeting_iiif_url</v>
      </c>
      <c r="Z102" t="s">
        <v>33</v>
      </c>
      <c r="AA102" t="s">
        <v>477</v>
      </c>
      <c r="AB102" t="str">
        <f>HYPERLINK("https://images.diginfra.net/framed3.html?imagesetuuid=16b7bf4c-5e05-4e5e-b109-cf178ead6c3f&amp;uri=https://images.diginfra.net/iiif/NL-HaNA_1.01.02/3771/NL-HaNA_1.01.02_3771_0202.jpg", "next_meeting_viewer_url")</f>
        <v>next_meeting_viewer_url</v>
      </c>
      <c r="AC102" t="str">
        <f>HYPERLINK("https://images.diginfra.net/iiif/NL-HaNA_1.01.02/3771/NL-HaNA_1.01.02_3771_0202.jpg/2500,2413,1034,962/full/0/default.jpg", "next_meeting_iiif_url")</f>
        <v>next_meeting_iiif_url</v>
      </c>
    </row>
    <row r="103" spans="1:29" x14ac:dyDescent="0.2">
      <c r="A103" t="s">
        <v>478</v>
      </c>
      <c r="B103" t="s">
        <v>79</v>
      </c>
      <c r="D103" t="b">
        <v>1</v>
      </c>
      <c r="E103" t="b">
        <v>0</v>
      </c>
      <c r="F103">
        <v>0</v>
      </c>
      <c r="J103">
        <v>3860</v>
      </c>
      <c r="K103">
        <v>145</v>
      </c>
      <c r="L103">
        <v>2386</v>
      </c>
      <c r="M103">
        <v>2004</v>
      </c>
      <c r="N103">
        <f t="shared" si="3"/>
        <v>290</v>
      </c>
      <c r="O103">
        <v>289</v>
      </c>
      <c r="P103">
        <v>0</v>
      </c>
      <c r="T103" t="str">
        <f>HYPERLINK("None", "viewer_url")</f>
        <v>viewer_url</v>
      </c>
      <c r="U103" s="1" t="str">
        <f>HYPERLINK("https://images.diginfra.net/iiif/NL-HaNA_1.01.02/3860/NL-HaNA_1.01.02_3860_0145.jpg/2386,2004,833,1054/full/0/default.jpg", "iiif_url")</f>
        <v>iiif_url</v>
      </c>
      <c r="Z103" t="s">
        <v>33</v>
      </c>
      <c r="AA103" t="s">
        <v>479</v>
      </c>
      <c r="AB103" t="str">
        <f>HYPERLINK("https://images.diginfra.net/framed3.html?imagesetuuid=85a72eaa-4faa-4148-a025-9b1c9fb4c2c1&amp;uri=https://images.diginfra.net/iiif/NL-HaNA_1.01.02/3860/NL-HaNA_1.01.02_3860_0147.jpg", "next_meeting_viewer_url")</f>
        <v>next_meeting_viewer_url</v>
      </c>
      <c r="AC103" t="str">
        <f>HYPERLINK("https://images.diginfra.net/iiif/NL-HaNA_1.01.02/3860/NL-HaNA_1.01.02_3860_0147.jpg/1211,2752,1030,648/full/0/default.jpg", "next_meeting_iiif_url")</f>
        <v>next_meeting_iiif_url</v>
      </c>
    </row>
    <row r="104" spans="1:29" x14ac:dyDescent="0.2">
      <c r="A104" t="s">
        <v>480</v>
      </c>
      <c r="B104" t="s">
        <v>30</v>
      </c>
      <c r="C104" t="s">
        <v>481</v>
      </c>
      <c r="D104" t="b">
        <v>1</v>
      </c>
      <c r="E104" t="b">
        <v>1</v>
      </c>
      <c r="F104">
        <v>1</v>
      </c>
      <c r="I104" t="s">
        <v>482</v>
      </c>
      <c r="J104">
        <v>3823</v>
      </c>
      <c r="K104">
        <v>386</v>
      </c>
      <c r="L104">
        <v>293</v>
      </c>
      <c r="M104">
        <v>970</v>
      </c>
      <c r="N104">
        <f t="shared" si="3"/>
        <v>772</v>
      </c>
      <c r="O104">
        <v>770</v>
      </c>
      <c r="P104">
        <v>0</v>
      </c>
      <c r="Q104">
        <v>1</v>
      </c>
      <c r="R104">
        <v>0</v>
      </c>
      <c r="S104" t="s">
        <v>33</v>
      </c>
      <c r="T104" t="str">
        <f>HYPERLINK("https://images.diginfra.net/framed3.html?imagesetuuid=08f55768-66d4-4560-816c-70f4ea910842&amp;uri=https://images.diginfra.net/iiif/NL-HaNA_1.01.02/3823/NL-HaNA_1.01.02_3823_0386.jpg", "viewer_url")</f>
        <v>viewer_url</v>
      </c>
      <c r="U104" t="str">
        <f>HYPERLINK("https://images.diginfra.net/iiif/NL-HaNA_1.01.02/3823/NL-HaNA_1.01.02_3823_0386.jpg/293,970,1069,2352/full/0/default.jpg", "iiif_url")</f>
        <v>iiif_url</v>
      </c>
      <c r="Z104" t="s">
        <v>44</v>
      </c>
      <c r="AA104" t="s">
        <v>483</v>
      </c>
      <c r="AB104" t="str">
        <f>HYPERLINK("https://images.diginfra.net/framed3.html?imagesetuuid=08f55768-66d4-4560-816c-70f4ea910842&amp;uri=https://images.diginfra.net/iiif/NL-HaNA_1.01.02/3823/NL-HaNA_1.01.02_3823_0388.jpg", "next_meeting_viewer_url")</f>
        <v>next_meeting_viewer_url</v>
      </c>
      <c r="AC104" t="str">
        <f>HYPERLINK("https://images.diginfra.net/iiif/NL-HaNA_1.01.02/3823/NL-HaNA_1.01.02_3823_0388.jpg/3286,1218,1072,2215/full/0/default.jpg", "next_meeting_iiif_url")</f>
        <v>next_meeting_iiif_url</v>
      </c>
    </row>
    <row r="105" spans="1:29" x14ac:dyDescent="0.2">
      <c r="A105" t="s">
        <v>484</v>
      </c>
      <c r="B105" t="s">
        <v>79</v>
      </c>
      <c r="C105" t="s">
        <v>485</v>
      </c>
      <c r="D105" t="b">
        <v>1</v>
      </c>
      <c r="E105" t="b">
        <v>1</v>
      </c>
      <c r="F105">
        <v>1</v>
      </c>
      <c r="I105" t="s">
        <v>486</v>
      </c>
      <c r="J105">
        <v>3819</v>
      </c>
      <c r="K105">
        <v>387</v>
      </c>
      <c r="L105">
        <v>2343</v>
      </c>
      <c r="M105">
        <v>1057</v>
      </c>
      <c r="N105">
        <f t="shared" si="3"/>
        <v>774</v>
      </c>
      <c r="O105">
        <v>773</v>
      </c>
      <c r="P105">
        <v>0</v>
      </c>
      <c r="Q105">
        <v>0</v>
      </c>
      <c r="R105">
        <v>18</v>
      </c>
      <c r="S105" t="s">
        <v>33</v>
      </c>
      <c r="T105" t="str">
        <f>HYPERLINK("https://images.diginfra.net/framed3.html?imagesetuuid=711b4f86-3dbd-47ca-af9d-52eb1c30bc58&amp;uri=https://images.diginfra.net/iiif/NL-HaNA_1.01.02/3819/NL-HaNA_1.01.02_3819_0387.jpg", "viewer_url")</f>
        <v>viewer_url</v>
      </c>
      <c r="U105" t="str">
        <f>HYPERLINK("https://images.diginfra.net/iiif/NL-HaNA_1.01.02/3819/NL-HaNA_1.01.02_3819_0387.jpg/2343,1057,1128,2305/full/0/default.jpg", "iiif_url")</f>
        <v>iiif_url</v>
      </c>
      <c r="V105" t="s">
        <v>33</v>
      </c>
      <c r="W105" t="s">
        <v>487</v>
      </c>
      <c r="X105" t="str">
        <f>HYPERLINK("https://images.diginfra.net/framed3.html?imagesetuuid=711b4f86-3dbd-47ca-af9d-52eb1c30bc58&amp;uri=https://images.diginfra.net/iiif/NL-HaNA_1.01.02/3819/NL-HaNA_1.01.02_3819_0384.jpg", "prev_meeting_viewer_url")</f>
        <v>prev_meeting_viewer_url</v>
      </c>
      <c r="Y105" t="str">
        <f>HYPERLINK("https://images.diginfra.net/iiif/NL-HaNA_1.01.02/3819/NL-HaNA_1.01.02_3819_0384.jpg/3325,488,1133,2886/full/0/default.jpg", "prev_meeting_iiif_url")</f>
        <v>prev_meeting_iiif_url</v>
      </c>
      <c r="Z105" t="s">
        <v>33</v>
      </c>
      <c r="AA105" t="s">
        <v>488</v>
      </c>
      <c r="AB105" t="str">
        <f>HYPERLINK("https://images.diginfra.net/framed3.html?imagesetuuid=711b4f86-3dbd-47ca-af9d-52eb1c30bc58&amp;uri=https://images.diginfra.net/iiif/NL-HaNA_1.01.02/3819/NL-HaNA_1.01.02_3819_0388.jpg", "next_meeting_viewer_url")</f>
        <v>next_meeting_viewer_url</v>
      </c>
      <c r="AC105" t="str">
        <f>HYPERLINK("https://images.diginfra.net/iiif/NL-HaNA_1.01.02/3819/NL-HaNA_1.01.02_3819_0388.jpg/3385,2247,1041,1129/full/0/default.jpg", "next_meeting_iiif_url")</f>
        <v>next_meeting_iiif_url</v>
      </c>
    </row>
    <row r="106" spans="1:29" x14ac:dyDescent="0.2">
      <c r="A106" t="s">
        <v>489</v>
      </c>
      <c r="B106" t="s">
        <v>63</v>
      </c>
      <c r="D106" t="b">
        <v>0</v>
      </c>
      <c r="E106" t="b">
        <v>0</v>
      </c>
      <c r="F106">
        <v>1</v>
      </c>
      <c r="G106">
        <v>1</v>
      </c>
      <c r="J106">
        <v>3812</v>
      </c>
      <c r="K106">
        <v>296</v>
      </c>
      <c r="N106">
        <f t="shared" si="3"/>
        <v>592</v>
      </c>
      <c r="O106">
        <v>591</v>
      </c>
      <c r="P106">
        <v>0</v>
      </c>
      <c r="T106" t="str">
        <f>HYPERLINK("None", "viewer_url")</f>
        <v>viewer_url</v>
      </c>
      <c r="U106" t="str">
        <f>HYPERLINK("None", "iiif_url")</f>
        <v>iiif_url</v>
      </c>
      <c r="V106" t="s">
        <v>33</v>
      </c>
      <c r="W106" t="s">
        <v>490</v>
      </c>
      <c r="X106" t="str">
        <f>HYPERLINK("https://images.diginfra.net/framed3.html?imagesetuuid=2068053a-a1c4-40f9-a503-3778784a1420&amp;uri=https://images.diginfra.net/iiif/NL-HaNA_1.01.02/3812/NL-HaNA_1.01.02_3812_0294.jpg", "prev_meeting_viewer_url")</f>
        <v>prev_meeting_viewer_url</v>
      </c>
      <c r="Y106" t="str">
        <f>HYPERLINK("https://images.diginfra.net/iiif/NL-HaNA_1.01.02/3812/NL-HaNA_1.01.02_3812_0294.jpg/220,412,1109,2913/full/0/default.jpg", "prev_meeting_iiif_url")</f>
        <v>prev_meeting_iiif_url</v>
      </c>
      <c r="Z106" t="s">
        <v>33</v>
      </c>
      <c r="AA106" t="s">
        <v>491</v>
      </c>
      <c r="AB106" t="str">
        <f>HYPERLINK("https://images.diginfra.net/framed3.html?imagesetuuid=2068053a-a1c4-40f9-a503-3778784a1420&amp;uri=https://images.diginfra.net/iiif/NL-HaNA_1.01.02/3812/NL-HaNA_1.01.02_3812_0296.jpg", "next_meeting_viewer_url")</f>
        <v>next_meeting_viewer_url</v>
      </c>
      <c r="AC106" t="str">
        <f>HYPERLINK("https://images.diginfra.net/iiif/NL-HaNA_1.01.02/3812/NL-HaNA_1.01.02_3812_0296.jpg/2350,2679,887,646/full/0/default.jpg", "next_meeting_iiif_url")</f>
        <v>next_meeting_iiif_url</v>
      </c>
    </row>
    <row r="107" spans="1:29" x14ac:dyDescent="0.2">
      <c r="A107" t="s">
        <v>492</v>
      </c>
      <c r="B107" t="s">
        <v>63</v>
      </c>
      <c r="D107" t="b">
        <v>0</v>
      </c>
      <c r="E107" t="b">
        <v>0</v>
      </c>
      <c r="F107">
        <v>1</v>
      </c>
      <c r="G107">
        <v>1</v>
      </c>
      <c r="J107">
        <v>3801</v>
      </c>
      <c r="K107">
        <v>462</v>
      </c>
      <c r="N107">
        <f t="shared" si="3"/>
        <v>924</v>
      </c>
      <c r="O107">
        <v>923</v>
      </c>
      <c r="P107">
        <v>0</v>
      </c>
      <c r="T107" t="str">
        <f>HYPERLINK("None", "viewer_url")</f>
        <v>viewer_url</v>
      </c>
      <c r="U107" t="str">
        <f>HYPERLINK("None", "iiif_url")</f>
        <v>iiif_url</v>
      </c>
      <c r="V107" t="s">
        <v>33</v>
      </c>
      <c r="W107" t="s">
        <v>493</v>
      </c>
      <c r="X107" t="str">
        <f>HYPERLINK("https://images.diginfra.net/framed3.html?imagesetuuid=f36c8416-59a8-4b1a-a82a-ef225cbd1971&amp;uri=https://images.diginfra.net/iiif/NL-HaNA_1.01.02/3801/NL-HaNA_1.01.02_3801_0461.jpg", "prev_meeting_viewer_url")</f>
        <v>prev_meeting_viewer_url</v>
      </c>
      <c r="Y107" t="str">
        <f>HYPERLINK("https://images.diginfra.net/iiif/NL-HaNA_1.01.02/3801/NL-HaNA_1.01.02_3801_0461.jpg/1336,515,1102,2872/full/0/default.jpg", "prev_meeting_iiif_url")</f>
        <v>prev_meeting_iiif_url</v>
      </c>
      <c r="Z107" t="s">
        <v>33</v>
      </c>
      <c r="AA107" t="s">
        <v>494</v>
      </c>
      <c r="AB107" t="str">
        <f>HYPERLINK("https://images.diginfra.net/framed3.html?imagesetuuid=f36c8416-59a8-4b1a-a82a-ef225cbd1971&amp;uri=https://images.diginfra.net/iiif/NL-HaNA_1.01.02/3801/NL-HaNA_1.01.02_3801_0462.jpg", "next_meeting_viewer_url")</f>
        <v>next_meeting_viewer_url</v>
      </c>
      <c r="AC107" t="str">
        <f>HYPERLINK("https://images.diginfra.net/iiif/NL-HaNA_1.01.02/3801/NL-HaNA_1.01.02_3801_0462.jpg/2420,1557,1093,1803/full/0/default.jpg", "next_meeting_iiif_url")</f>
        <v>next_meeting_iiif_url</v>
      </c>
    </row>
    <row r="108" spans="1:29" x14ac:dyDescent="0.2">
      <c r="A108" t="s">
        <v>495</v>
      </c>
      <c r="B108" t="s">
        <v>85</v>
      </c>
      <c r="D108" t="b">
        <v>0</v>
      </c>
      <c r="E108" t="b">
        <v>0</v>
      </c>
      <c r="F108">
        <v>1</v>
      </c>
      <c r="G108">
        <v>1</v>
      </c>
      <c r="J108">
        <v>3842</v>
      </c>
      <c r="K108">
        <v>125</v>
      </c>
      <c r="N108">
        <f t="shared" si="3"/>
        <v>250</v>
      </c>
      <c r="O108">
        <v>249</v>
      </c>
      <c r="P108">
        <v>0</v>
      </c>
      <c r="T108" t="str">
        <f>HYPERLINK("None", "viewer_url")</f>
        <v>viewer_url</v>
      </c>
      <c r="U108" t="str">
        <f>HYPERLINK("None", "iiif_url")</f>
        <v>iiif_url</v>
      </c>
      <c r="V108" t="s">
        <v>33</v>
      </c>
      <c r="W108" t="s">
        <v>496</v>
      </c>
      <c r="X108" t="str">
        <f>HYPERLINK("https://images.diginfra.net/framed3.html?imagesetuuid=47881e95-07b9-4c17-8cf4-b55a034c8db2&amp;uri=https://images.diginfra.net/iiif/NL-HaNA_1.01.02/3841/NL-HaNA_1.01.02_3841_0283.jpg", "prev_meeting_viewer_url")</f>
        <v>prev_meeting_viewer_url</v>
      </c>
      <c r="Y108" t="str">
        <f>HYPERLINK("https://images.diginfra.net/iiif/NL-HaNA_1.01.02/3841/NL-HaNA_1.01.02_3841_0283.jpg/3223,265,1082,3186/full/0/default.jpg", "prev_meeting_iiif_url")</f>
        <v>prev_meeting_iiif_url</v>
      </c>
      <c r="Z108" t="s">
        <v>33</v>
      </c>
      <c r="AA108" t="s">
        <v>497</v>
      </c>
      <c r="AB108" t="str">
        <f>HYPERLINK("https://images.diginfra.net/framed3.html?imagesetuuid=70f1fd11-1c44-41eb-aebd-1f9cc88be8c8&amp;uri=https://images.diginfra.net/iiif/NL-HaNA_1.01.02/3842/NL-HaNA_1.01.02_3842_0125.jpg", "next_meeting_viewer_url")</f>
        <v>next_meeting_viewer_url</v>
      </c>
      <c r="AC108" t="str">
        <f>HYPERLINK("https://images.diginfra.net/iiif/NL-HaNA_1.01.02/3842/NL-HaNA_1.01.02_3842_0125.jpg/2336,1250,1020,1356/full/0/default.jpg", "next_meeting_iiif_url")</f>
        <v>next_meeting_iiif_url</v>
      </c>
    </row>
    <row r="109" spans="1:29" x14ac:dyDescent="0.2">
      <c r="A109" t="s">
        <v>498</v>
      </c>
      <c r="B109" t="s">
        <v>37</v>
      </c>
      <c r="C109" t="s">
        <v>499</v>
      </c>
      <c r="D109" t="b">
        <v>1</v>
      </c>
      <c r="E109" t="b">
        <v>1</v>
      </c>
      <c r="F109">
        <v>1</v>
      </c>
      <c r="I109" t="s">
        <v>500</v>
      </c>
      <c r="J109">
        <v>3765</v>
      </c>
      <c r="K109">
        <v>378</v>
      </c>
      <c r="L109">
        <v>2517</v>
      </c>
      <c r="M109">
        <v>1483</v>
      </c>
      <c r="N109">
        <f t="shared" si="3"/>
        <v>756</v>
      </c>
      <c r="O109">
        <v>755</v>
      </c>
      <c r="P109">
        <v>0</v>
      </c>
      <c r="Q109">
        <v>1</v>
      </c>
      <c r="R109">
        <v>0</v>
      </c>
      <c r="S109" t="s">
        <v>33</v>
      </c>
      <c r="T109" t="str">
        <f>HYPERLINK("https://images.diginfra.net/framed3.html?imagesetuuid=4dfc1a1b-8cdf-4492-b411-5e67950ce484&amp;uri=https://images.diginfra.net/iiif/NL-HaNA_1.01.02/3765/NL-HaNA_1.01.02_3765_0378.jpg", "viewer_url")</f>
        <v>viewer_url</v>
      </c>
      <c r="U109" t="str">
        <f>HYPERLINK("https://images.diginfra.net/iiif/NL-HaNA_1.01.02/3765/NL-HaNA_1.01.02_3765_0378.jpg/2517,1483,1113,1969/full/0/default.jpg", "iiif_url")</f>
        <v>iiif_url</v>
      </c>
      <c r="V109" t="s">
        <v>33</v>
      </c>
      <c r="X109" t="str">
        <f>HYPERLINK("https://images.diginfra.net/framed3.html?imagesetuuid=4dfc1a1b-8cdf-4492-b411-5e67950ce484&amp;uri=https://images.diginfra.net/iiif/NL-HaNA_1.01.02/3765/NL-HaNA_1.01.02_3765_0377.jpg", "prev_meeting_viewer_url")</f>
        <v>prev_meeting_viewer_url</v>
      </c>
      <c r="Y109" t="str">
        <f>HYPERLINK("https://images.diginfra.net/iiif/NL-HaNA_1.01.02/3765/NL-HaNA_1.01.02_3765_0377.jpg/2518,1743,1103,1610/full/0/default.jpg", "prev_meeting_iiif_url")</f>
        <v>prev_meeting_iiif_url</v>
      </c>
      <c r="Z109" t="s">
        <v>33</v>
      </c>
      <c r="AA109" t="s">
        <v>501</v>
      </c>
      <c r="AB109" t="str">
        <f>HYPERLINK("https://images.diginfra.net/framed3.html?imagesetuuid=4dfc1a1b-8cdf-4492-b411-5e67950ce484&amp;uri=https://images.diginfra.net/iiif/NL-HaNA_1.01.02/3765/NL-HaNA_1.01.02_3765_0380.jpg", "next_meeting_viewer_url")</f>
        <v>next_meeting_viewer_url</v>
      </c>
      <c r="AC109" t="str">
        <f>HYPERLINK("https://images.diginfra.net/iiif/NL-HaNA_1.01.02/3765/NL-HaNA_1.01.02_3765_0380.jpg/2563,2129,1088,1228/full/0/default.jpg", "next_meeting_iiif_url")</f>
        <v>next_meeting_iiif_url</v>
      </c>
    </row>
    <row r="110" spans="1:29" x14ac:dyDescent="0.2">
      <c r="A110" t="s">
        <v>502</v>
      </c>
      <c r="B110" t="s">
        <v>63</v>
      </c>
      <c r="D110" t="b">
        <v>0</v>
      </c>
      <c r="E110" t="b">
        <v>0</v>
      </c>
      <c r="F110">
        <v>1</v>
      </c>
      <c r="G110">
        <v>1</v>
      </c>
      <c r="J110">
        <v>3853</v>
      </c>
      <c r="K110">
        <v>204</v>
      </c>
      <c r="N110">
        <f t="shared" si="3"/>
        <v>408</v>
      </c>
      <c r="O110">
        <v>406</v>
      </c>
      <c r="P110">
        <v>1</v>
      </c>
      <c r="T110" t="str">
        <f>HYPERLINK("None", "viewer_url")</f>
        <v>viewer_url</v>
      </c>
      <c r="U110" t="str">
        <f>HYPERLINK("None", "iiif_url")</f>
        <v>iiif_url</v>
      </c>
      <c r="V110" t="s">
        <v>33</v>
      </c>
      <c r="W110" t="s">
        <v>503</v>
      </c>
      <c r="X110" t="str">
        <f>HYPERLINK("https://images.diginfra.net/framed3.html?imagesetuuid=70af21ed-3dea-44e0-a125-396f50f1c89e&amp;uri=https://images.diginfra.net/iiif/NL-HaNA_1.01.02/3853/NL-HaNA_1.01.02_3853_0203.jpg", "prev_meeting_viewer_url")</f>
        <v>prev_meeting_viewer_url</v>
      </c>
      <c r="Y110" t="str">
        <f>HYPERLINK("https://images.diginfra.net/iiif/NL-HaNA_1.01.02/3853/NL-HaNA_1.01.02_3853_0203.jpg/322,301,1089,3064/full/0/default.jpg", "prev_meeting_iiif_url")</f>
        <v>prev_meeting_iiif_url</v>
      </c>
      <c r="Z110" t="s">
        <v>33</v>
      </c>
      <c r="AA110" t="s">
        <v>504</v>
      </c>
      <c r="AB110" t="str">
        <f>HYPERLINK("https://images.diginfra.net/framed3.html?imagesetuuid=70af21ed-3dea-44e0-a125-396f50f1c89e&amp;uri=https://images.diginfra.net/iiif/NL-HaNA_1.01.02/3853/NL-HaNA_1.01.02_3853_0204.jpg", "next_meeting_viewer_url")</f>
        <v>next_meeting_viewer_url</v>
      </c>
      <c r="AC110" t="str">
        <f>HYPERLINK("https://images.diginfra.net/iiif/NL-HaNA_1.01.02/3853/NL-HaNA_1.01.02_3853_0204.jpg/1267,433,1083,2905/full/0/default.jpg", "next_meeting_iiif_url")</f>
        <v>next_meeting_iiif_url</v>
      </c>
    </row>
    <row r="111" spans="1:29" x14ac:dyDescent="0.2">
      <c r="A111" t="s">
        <v>505</v>
      </c>
      <c r="B111" t="s">
        <v>37</v>
      </c>
      <c r="C111" t="s">
        <v>506</v>
      </c>
      <c r="D111" t="b">
        <v>1</v>
      </c>
      <c r="E111" t="b">
        <v>1</v>
      </c>
      <c r="F111">
        <v>1</v>
      </c>
      <c r="I111" t="s">
        <v>507</v>
      </c>
      <c r="J111">
        <v>3782</v>
      </c>
      <c r="K111">
        <v>305</v>
      </c>
      <c r="L111">
        <v>2557</v>
      </c>
      <c r="M111">
        <v>1511</v>
      </c>
      <c r="N111">
        <f t="shared" si="3"/>
        <v>610</v>
      </c>
      <c r="O111">
        <v>609</v>
      </c>
      <c r="P111">
        <v>0</v>
      </c>
      <c r="Q111">
        <v>1</v>
      </c>
      <c r="R111">
        <v>0</v>
      </c>
      <c r="S111" t="s">
        <v>33</v>
      </c>
      <c r="T111" t="str">
        <f>HYPERLINK("https://images.diginfra.net/framed3.html?imagesetuuid=6d3687da-fdc8-4a47-ac98-f85d45f74cb7&amp;uri=https://images.diginfra.net/iiif/NL-HaNA_1.01.02/3782/NL-HaNA_1.01.02_3782_0305.jpg", "viewer_url")</f>
        <v>viewer_url</v>
      </c>
      <c r="U111" t="str">
        <f>HYPERLINK("https://images.diginfra.net/iiif/NL-HaNA_1.01.02/3782/NL-HaNA_1.01.02_3782_0305.jpg/2557,1511,1102,1937/full/0/default.jpg", "iiif_url")</f>
        <v>iiif_url</v>
      </c>
      <c r="V111" t="s">
        <v>33</v>
      </c>
      <c r="W111" t="s">
        <v>508</v>
      </c>
      <c r="X111" t="str">
        <f>HYPERLINK("https://images.diginfra.net/framed3.html?imagesetuuid=6d3687da-fdc8-4a47-ac98-f85d45f74cb7&amp;uri=https://images.diginfra.net/iiif/NL-HaNA_1.01.02/3782/NL-HaNA_1.01.02_3782_0303.jpg", "prev_meeting_viewer_url")</f>
        <v>prev_meeting_viewer_url</v>
      </c>
      <c r="Y111" t="str">
        <f>HYPERLINK("https://images.diginfra.net/iiif/NL-HaNA_1.01.02/3782/NL-HaNA_1.01.02_3782_0303.jpg/1279,2923,1034,554/full/0/default.jpg", "prev_meeting_iiif_url")</f>
        <v>prev_meeting_iiif_url</v>
      </c>
      <c r="Z111" t="s">
        <v>33</v>
      </c>
      <c r="AA111" t="s">
        <v>509</v>
      </c>
      <c r="AB111" t="str">
        <f>HYPERLINK("https://images.diginfra.net/framed3.html?imagesetuuid=6d3687da-fdc8-4a47-ac98-f85d45f74cb7&amp;uri=https://images.diginfra.net/iiif/NL-HaNA_1.01.02/3782/NL-HaNA_1.01.02_3782_0308.jpg", "next_meeting_viewer_url")</f>
        <v>next_meeting_viewer_url</v>
      </c>
      <c r="AC111" t="str">
        <f>HYPERLINK("https://images.diginfra.net/iiif/NL-HaNA_1.01.02/3782/NL-HaNA_1.01.02_3782_0308.jpg/342,1318,1090,2139/full/0/default.jpg", "next_meeting_iiif_url")</f>
        <v>next_meeting_iiif_url</v>
      </c>
    </row>
    <row r="112" spans="1:29" x14ac:dyDescent="0.2">
      <c r="A112" t="s">
        <v>510</v>
      </c>
      <c r="B112" t="s">
        <v>37</v>
      </c>
      <c r="C112" t="s">
        <v>511</v>
      </c>
      <c r="D112" t="b">
        <v>1</v>
      </c>
      <c r="E112" t="b">
        <v>1</v>
      </c>
      <c r="F112">
        <v>1</v>
      </c>
      <c r="I112" t="s">
        <v>512</v>
      </c>
      <c r="J112">
        <v>3798</v>
      </c>
      <c r="K112">
        <v>112</v>
      </c>
      <c r="L112">
        <v>3496</v>
      </c>
      <c r="M112">
        <v>2834</v>
      </c>
      <c r="N112">
        <f t="shared" si="3"/>
        <v>224</v>
      </c>
      <c r="O112">
        <v>223</v>
      </c>
      <c r="P112">
        <v>1</v>
      </c>
      <c r="Q112">
        <v>3</v>
      </c>
      <c r="R112">
        <v>0</v>
      </c>
      <c r="S112" t="s">
        <v>33</v>
      </c>
      <c r="T112" t="str">
        <f>HYPERLINK("https://images.diginfra.net/framed3.html?imagesetuuid=c3e98c27-09b5-46e4-b19a-b811d240b059&amp;uri=https://images.diginfra.net/iiif/NL-HaNA_1.01.02/3798/NL-HaNA_1.01.02_3798_0112.jpg", "viewer_url")</f>
        <v>viewer_url</v>
      </c>
      <c r="U112" t="str">
        <f>HYPERLINK("https://images.diginfra.net/iiif/NL-HaNA_1.01.02/3798/NL-HaNA_1.01.02_3798_0112.jpg/3496,2834,1025,603/full/0/default.jpg", "iiif_url")</f>
        <v>iiif_url</v>
      </c>
      <c r="V112" t="s">
        <v>33</v>
      </c>
      <c r="W112" t="s">
        <v>513</v>
      </c>
      <c r="X112" t="str">
        <f>HYPERLINK("https://images.diginfra.net/framed3.html?imagesetuuid=c3e98c27-09b5-46e4-b19a-b811d240b059&amp;uri=https://images.diginfra.net/iiif/NL-HaNA_1.01.02/3798/NL-HaNA_1.01.02_3798_0112.jpg", "prev_meeting_viewer_url")</f>
        <v>prev_meeting_viewer_url</v>
      </c>
      <c r="Y112" t="str">
        <f>HYPERLINK("https://images.diginfra.net/iiif/NL-HaNA_1.01.02/3798/NL-HaNA_1.01.02_3798_0112.jpg/2514,1855,1091,1570/full/0/default.jpg", "prev_meeting_iiif_url")</f>
        <v>prev_meeting_iiif_url</v>
      </c>
      <c r="Z112" t="s">
        <v>33</v>
      </c>
      <c r="AA112" t="s">
        <v>514</v>
      </c>
      <c r="AB112" t="str">
        <f>HYPERLINK("https://images.diginfra.net/framed3.html?imagesetuuid=c3e98c27-09b5-46e4-b19a-b811d240b059&amp;uri=https://images.diginfra.net/iiif/NL-HaNA_1.01.02/3798/NL-HaNA_1.01.02_3798_0114.jpg", "next_meeting_viewer_url")</f>
        <v>next_meeting_viewer_url</v>
      </c>
      <c r="AC112" t="str">
        <f>HYPERLINK("https://images.diginfra.net/iiif/NL-HaNA_1.01.02/3798/NL-HaNA_1.01.02_3798_0114.jpg/1310,741,1103,2662/full/0/default.jpg", "next_meeting_iiif_url")</f>
        <v>next_meeting_iiif_url</v>
      </c>
    </row>
    <row r="113" spans="1:29" x14ac:dyDescent="0.2">
      <c r="A113" t="s">
        <v>515</v>
      </c>
      <c r="B113" t="s">
        <v>30</v>
      </c>
      <c r="C113" t="s">
        <v>516</v>
      </c>
      <c r="D113" t="b">
        <v>1</v>
      </c>
      <c r="E113" t="b">
        <v>1</v>
      </c>
      <c r="F113">
        <v>1</v>
      </c>
      <c r="I113" t="s">
        <v>517</v>
      </c>
      <c r="J113">
        <v>3827</v>
      </c>
      <c r="K113">
        <v>367</v>
      </c>
      <c r="L113">
        <v>3372</v>
      </c>
      <c r="M113">
        <v>2942</v>
      </c>
      <c r="N113">
        <f t="shared" si="3"/>
        <v>734</v>
      </c>
      <c r="O113">
        <v>733</v>
      </c>
      <c r="P113">
        <v>1</v>
      </c>
      <c r="Q113">
        <v>3</v>
      </c>
      <c r="R113">
        <v>0</v>
      </c>
      <c r="S113" t="s">
        <v>33</v>
      </c>
      <c r="T113" t="str">
        <f>HYPERLINK("https://images.diginfra.net/framed3.html?imagesetuuid=cb4f4e9c-bdd8-4992-9de8-6ddd9348148f&amp;uri=https://images.diginfra.net/iiif/NL-HaNA_1.01.02/3827/NL-HaNA_1.01.02_3827_0367.jpg", "viewer_url")</f>
        <v>viewer_url</v>
      </c>
      <c r="U113" t="str">
        <f>HYPERLINK("https://images.diginfra.net/iiif/NL-HaNA_1.01.02/3827/NL-HaNA_1.01.02_3827_0367.jpg/3372,2942,991,437/full/0/default.jpg", "iiif_url")</f>
        <v>iiif_url</v>
      </c>
      <c r="V113" t="s">
        <v>33</v>
      </c>
      <c r="W113" t="s">
        <v>518</v>
      </c>
      <c r="X113" t="str">
        <f>HYPERLINK("https://images.diginfra.net/framed3.html?imagesetuuid=cb4f4e9c-bdd8-4992-9de8-6ddd9348148f&amp;uri=https://images.diginfra.net/iiif/NL-HaNA_1.01.02/3827/NL-HaNA_1.01.02_3827_0367.jpg", "prev_meeting_viewer_url")</f>
        <v>prev_meeting_viewer_url</v>
      </c>
      <c r="Y113" t="str">
        <f>HYPERLINK("https://images.diginfra.net/iiif/NL-HaNA_1.01.02/3827/NL-HaNA_1.01.02_3827_0367.jpg/1237,2507,1014,825/full/0/default.jpg", "prev_meeting_iiif_url")</f>
        <v>prev_meeting_iiif_url</v>
      </c>
      <c r="Z113" t="s">
        <v>33</v>
      </c>
      <c r="AA113" t="s">
        <v>519</v>
      </c>
      <c r="AB113" t="str">
        <f>HYPERLINK("https://images.diginfra.net/framed3.html?imagesetuuid=cb4f4e9c-bdd8-4992-9de8-6ddd9348148f&amp;uri=https://images.diginfra.net/iiif/NL-HaNA_1.01.02/3827/NL-HaNA_1.01.02_3827_0368.jpg", "next_meeting_viewer_url")</f>
        <v>next_meeting_viewer_url</v>
      </c>
      <c r="AC113" t="str">
        <f>HYPERLINK("https://images.diginfra.net/iiif/NL-HaNA_1.01.02/3827/NL-HaNA_1.01.02_3827_0368.jpg/1221,254,1105,3095/full/0/default.jpg", "next_meeting_iiif_url")</f>
        <v>next_meeting_iiif_url</v>
      </c>
    </row>
    <row r="114" spans="1:29" x14ac:dyDescent="0.2">
      <c r="A114" t="s">
        <v>520</v>
      </c>
      <c r="B114" t="s">
        <v>59</v>
      </c>
      <c r="D114" t="b">
        <v>1</v>
      </c>
      <c r="E114" t="b">
        <v>1</v>
      </c>
      <c r="F114">
        <v>1</v>
      </c>
      <c r="I114" t="s">
        <v>521</v>
      </c>
      <c r="J114">
        <v>3773</v>
      </c>
      <c r="K114">
        <v>377</v>
      </c>
      <c r="L114">
        <v>2392</v>
      </c>
      <c r="M114">
        <v>296</v>
      </c>
      <c r="N114">
        <f t="shared" si="3"/>
        <v>754</v>
      </c>
      <c r="O114">
        <v>753</v>
      </c>
      <c r="P114">
        <v>0</v>
      </c>
      <c r="Q114">
        <v>0</v>
      </c>
      <c r="R114">
        <v>0</v>
      </c>
      <c r="S114" t="s">
        <v>33</v>
      </c>
      <c r="T114" t="str">
        <f>HYPERLINK("https://images.diginfra.net/framed3.html?imagesetuuid=0d0ede5e-a7f6-4a03-b996-493e50528c24&amp;uri=https://images.diginfra.net/iiif/NL-HaNA_1.01.02/3773/NL-HaNA_1.01.02_3773_0377.jpg", "viewer_url")</f>
        <v>viewer_url</v>
      </c>
      <c r="U114" t="str">
        <f>HYPERLINK("https://images.diginfra.net/iiif/NL-HaNA_1.01.02/3773/NL-HaNA_1.01.02_3773_0377.jpg/2392,296,1096,3056/full/0/default.jpg", "iiif_url")</f>
        <v>iiif_url</v>
      </c>
      <c r="V114" t="s">
        <v>33</v>
      </c>
      <c r="W114" t="s">
        <v>522</v>
      </c>
      <c r="X114" t="str">
        <f>HYPERLINK("https://images.diginfra.net/framed3.html?imagesetuuid=0d0ede5e-a7f6-4a03-b996-493e50528c24&amp;uri=https://images.diginfra.net/iiif/NL-HaNA_1.01.02/3773/NL-HaNA_1.01.02_3773_0376.jpg", "prev_meeting_viewer_url")</f>
        <v>prev_meeting_viewer_url</v>
      </c>
      <c r="Y114" t="str">
        <f>HYPERLINK("https://images.diginfra.net/iiif/NL-HaNA_1.01.02/3773/NL-HaNA_1.01.02_3773_0376.jpg/2419,1060,1109,2295/full/0/default.jpg", "prev_meeting_iiif_url")</f>
        <v>prev_meeting_iiif_url</v>
      </c>
      <c r="Z114" t="s">
        <v>33</v>
      </c>
      <c r="AA114" t="s">
        <v>523</v>
      </c>
      <c r="AB114" t="str">
        <f>HYPERLINK("https://images.diginfra.net/framed3.html?imagesetuuid=0d0ede5e-a7f6-4a03-b996-493e50528c24&amp;uri=https://images.diginfra.net/iiif/NL-HaNA_1.01.02/3773/NL-HaNA_1.01.02_3773_0380.jpg", "next_meeting_viewer_url")</f>
        <v>next_meeting_viewer_url</v>
      </c>
      <c r="AC114" t="str">
        <f>HYPERLINK("https://images.diginfra.net/iiif/NL-HaNA_1.01.02/3773/NL-HaNA_1.01.02_3773_0380.jpg/226,1101,1101,2312/full/0/default.jpg", "next_meeting_iiif_url")</f>
        <v>next_meeting_iiif_url</v>
      </c>
    </row>
    <row r="115" spans="1:29" x14ac:dyDescent="0.2">
      <c r="A115" t="s">
        <v>524</v>
      </c>
      <c r="B115" t="s">
        <v>59</v>
      </c>
      <c r="C115" t="s">
        <v>525</v>
      </c>
      <c r="D115" t="b">
        <v>1</v>
      </c>
      <c r="E115" t="b">
        <v>1</v>
      </c>
      <c r="F115">
        <v>1</v>
      </c>
      <c r="I115" t="s">
        <v>526</v>
      </c>
      <c r="J115">
        <v>3788</v>
      </c>
      <c r="K115">
        <v>178</v>
      </c>
      <c r="L115">
        <v>314</v>
      </c>
      <c r="M115">
        <v>2678</v>
      </c>
      <c r="N115">
        <f t="shared" si="3"/>
        <v>356</v>
      </c>
      <c r="O115">
        <v>354</v>
      </c>
      <c r="P115">
        <v>0</v>
      </c>
      <c r="Q115">
        <v>2</v>
      </c>
      <c r="R115">
        <v>0</v>
      </c>
      <c r="S115" t="s">
        <v>33</v>
      </c>
      <c r="T115" t="str">
        <f>HYPERLINK("https://images.diginfra.net/framed3.html?imagesetuuid=0c8f3037-13b3-45f2-b332-cb8940ab7c42&amp;uri=https://images.diginfra.net/iiif/NL-HaNA_1.01.02/3788/NL-HaNA_1.01.02_3788_0178.jpg", "viewer_url")</f>
        <v>viewer_url</v>
      </c>
      <c r="U115" t="str">
        <f>HYPERLINK("https://images.diginfra.net/iiif/NL-HaNA_1.01.02/3788/NL-HaNA_1.01.02_3788_0178.jpg/314,2678,906,651/full/0/default.jpg", "iiif_url")</f>
        <v>iiif_url</v>
      </c>
      <c r="V115" t="s">
        <v>33</v>
      </c>
      <c r="W115" t="s">
        <v>527</v>
      </c>
      <c r="X115" t="str">
        <f>HYPERLINK("https://images.diginfra.net/framed3.html?imagesetuuid=0c8f3037-13b3-45f2-b332-cb8940ab7c42&amp;uri=https://images.diginfra.net/iiif/NL-HaNA_1.01.02/3788/NL-HaNA_1.01.02_3788_0176.jpg", "prev_meeting_viewer_url")</f>
        <v>prev_meeting_viewer_url</v>
      </c>
      <c r="Y115" t="str">
        <f>HYPERLINK("https://images.diginfra.net/iiif/NL-HaNA_1.01.02/3788/NL-HaNA_1.01.02_3788_0176.jpg/251,1875,1083,1572/full/0/default.jpg", "prev_meeting_iiif_url")</f>
        <v>prev_meeting_iiif_url</v>
      </c>
      <c r="Z115" t="s">
        <v>33</v>
      </c>
      <c r="AA115" t="s">
        <v>528</v>
      </c>
      <c r="AB115" t="str">
        <f>HYPERLINK("https://images.diginfra.net/framed3.html?imagesetuuid=0c8f3037-13b3-45f2-b332-cb8940ab7c42&amp;uri=https://images.diginfra.net/iiif/NL-HaNA_1.01.02/3788/NL-HaNA_1.01.02_3788_0178.jpg", "next_meeting_viewer_url")</f>
        <v>next_meeting_viewer_url</v>
      </c>
      <c r="AC115" t="str">
        <f>HYPERLINK("https://images.diginfra.net/iiif/NL-HaNA_1.01.02/3788/NL-HaNA_1.01.02_3788_0178.jpg/2353,1140,1092,2207/full/0/default.jpg", "next_meeting_iiif_url")</f>
        <v>next_meeting_iiif_url</v>
      </c>
    </row>
    <row r="116" spans="1:29" x14ac:dyDescent="0.2">
      <c r="A116" t="s">
        <v>529</v>
      </c>
      <c r="B116" t="s">
        <v>30</v>
      </c>
      <c r="C116" t="s">
        <v>530</v>
      </c>
      <c r="D116" t="b">
        <v>1</v>
      </c>
      <c r="E116" t="b">
        <v>1</v>
      </c>
      <c r="F116">
        <v>1</v>
      </c>
      <c r="I116" t="s">
        <v>531</v>
      </c>
      <c r="J116">
        <v>3849</v>
      </c>
      <c r="K116">
        <v>155</v>
      </c>
      <c r="L116">
        <v>3316</v>
      </c>
      <c r="M116">
        <v>2338</v>
      </c>
      <c r="N116">
        <f t="shared" si="3"/>
        <v>310</v>
      </c>
      <c r="O116">
        <v>309</v>
      </c>
      <c r="P116">
        <v>1</v>
      </c>
      <c r="Q116">
        <v>2</v>
      </c>
      <c r="R116">
        <v>0</v>
      </c>
      <c r="S116" t="s">
        <v>33</v>
      </c>
      <c r="T116" t="str">
        <f>HYPERLINK("https://images.diginfra.net/framed3.html?imagesetuuid=7d69db40-de83-46fa-8e08-2a3f4300174e&amp;uri=https://images.diginfra.net/iiif/NL-HaNA_1.01.02/3849/NL-HaNA_1.01.02_3849_0155.jpg", "viewer_url")</f>
        <v>viewer_url</v>
      </c>
      <c r="U116" t="str">
        <f>HYPERLINK("https://images.diginfra.net/iiif/NL-HaNA_1.01.02/3849/NL-HaNA_1.01.02_3849_0155.jpg/3316,2338,1025,1063/full/0/default.jpg", "iiif_url")</f>
        <v>iiif_url</v>
      </c>
      <c r="V116" t="s">
        <v>33</v>
      </c>
      <c r="W116" t="s">
        <v>532</v>
      </c>
      <c r="X116" t="str">
        <f>HYPERLINK("https://images.diginfra.net/framed3.html?imagesetuuid=7d69db40-de83-46fa-8e08-2a3f4300174e&amp;uri=https://images.diginfra.net/iiif/NL-HaNA_1.01.02/3849/NL-HaNA_1.01.02_3849_0153.jpg", "prev_meeting_viewer_url")</f>
        <v>prev_meeting_viewer_url</v>
      </c>
      <c r="Y116" t="str">
        <f>HYPERLINK("https://images.diginfra.net/iiif/NL-HaNA_1.01.02/3849/NL-HaNA_1.01.02_3849_0153.jpg/3299,690,1078,2739/full/0/default.jpg", "prev_meeting_iiif_url")</f>
        <v>prev_meeting_iiif_url</v>
      </c>
      <c r="Z116" t="s">
        <v>44</v>
      </c>
      <c r="AA116" t="s">
        <v>533</v>
      </c>
      <c r="AB116" t="str">
        <f>HYPERLINK("https://images.diginfra.net/framed3.html?imagesetuuid=7d69db40-de83-46fa-8e08-2a3f4300174e&amp;uri=https://images.diginfra.net/iiif/NL-HaNA_1.01.02/3849/NL-HaNA_1.01.02_3849_0157.jpg", "next_meeting_viewer_url")</f>
        <v>next_meeting_viewer_url</v>
      </c>
      <c r="AC116" t="str">
        <f>HYPERLINK("https://images.diginfra.net/iiif/NL-HaNA_1.01.02/3849/NL-HaNA_1.01.02_3849_0157.jpg/2398,1191,1082,2304/full/0/default.jpg", "next_meeting_iiif_url")</f>
        <v>next_meeting_iiif_url</v>
      </c>
    </row>
    <row r="117" spans="1:29" x14ac:dyDescent="0.2">
      <c r="A117" t="s">
        <v>534</v>
      </c>
      <c r="B117" t="s">
        <v>30</v>
      </c>
      <c r="C117" t="s">
        <v>535</v>
      </c>
      <c r="D117" t="b">
        <v>1</v>
      </c>
      <c r="E117" t="b">
        <v>1</v>
      </c>
      <c r="F117">
        <v>1</v>
      </c>
      <c r="I117" t="s">
        <v>536</v>
      </c>
      <c r="J117">
        <v>3833</v>
      </c>
      <c r="K117">
        <v>431</v>
      </c>
      <c r="L117">
        <v>1278</v>
      </c>
      <c r="M117">
        <v>2131</v>
      </c>
      <c r="N117">
        <f t="shared" si="3"/>
        <v>862</v>
      </c>
      <c r="O117">
        <v>860</v>
      </c>
      <c r="P117">
        <v>1</v>
      </c>
      <c r="Q117">
        <v>1</v>
      </c>
      <c r="R117">
        <v>1</v>
      </c>
      <c r="S117" t="s">
        <v>33</v>
      </c>
      <c r="T117" t="str">
        <f>HYPERLINK("https://images.diginfra.net/framed3.html?imagesetuuid=93b95c12-1805-42f5-98c6-c352681b46bb&amp;uri=https://images.diginfra.net/iiif/NL-HaNA_1.01.02/3833/NL-HaNA_1.01.02_3833_0431.jpg", "viewer_url")</f>
        <v>viewer_url</v>
      </c>
      <c r="U117" t="str">
        <f>HYPERLINK("https://images.diginfra.net/iiif/NL-HaNA_1.01.02/3833/NL-HaNA_1.01.02_3833_0431.jpg/1278,2131,1050,1235/full/0/default.jpg", "iiif_url")</f>
        <v>iiif_url</v>
      </c>
      <c r="V117" t="s">
        <v>33</v>
      </c>
      <c r="W117" t="s">
        <v>537</v>
      </c>
      <c r="X117" t="str">
        <f>HYPERLINK("https://images.diginfra.net/framed3.html?imagesetuuid=93b95c12-1805-42f5-98c6-c352681b46bb&amp;uri=https://images.diginfra.net/iiif/NL-HaNA_1.01.02/3833/NL-HaNA_1.01.02_3833_0429.jpg", "prev_meeting_viewer_url")</f>
        <v>prev_meeting_viewer_url</v>
      </c>
      <c r="Y117" t="str">
        <f>HYPERLINK("https://images.diginfra.net/iiif/NL-HaNA_1.01.02/3833/NL-HaNA_1.01.02_3833_0429.jpg/2369,681,1092,2714/full/0/default.jpg", "prev_meeting_iiif_url")</f>
        <v>prev_meeting_iiif_url</v>
      </c>
      <c r="Z117" t="s">
        <v>44</v>
      </c>
      <c r="AA117" t="s">
        <v>538</v>
      </c>
      <c r="AB117" t="str">
        <f>HYPERLINK("https://images.diginfra.net/framed3.html?imagesetuuid=93b95c12-1805-42f5-98c6-c352681b46bb&amp;uri=https://images.diginfra.net/iiif/NL-HaNA_1.01.02/3833/NL-HaNA_1.01.02_3833_0433.jpg", "next_meeting_viewer_url")</f>
        <v>next_meeting_viewer_url</v>
      </c>
      <c r="AC117" t="str">
        <f>HYPERLINK("https://images.diginfra.net/iiif/NL-HaNA_1.01.02/3833/NL-HaNA_1.01.02_3833_0433.jpg/3286,1895,1085,1385/full/0/default.jpg", "next_meeting_iiif_url")</f>
        <v>next_meeting_iiif_url</v>
      </c>
    </row>
    <row r="118" spans="1:29" x14ac:dyDescent="0.2">
      <c r="A118" t="s">
        <v>539</v>
      </c>
      <c r="B118" t="s">
        <v>85</v>
      </c>
      <c r="C118" t="s">
        <v>540</v>
      </c>
      <c r="D118" t="b">
        <v>1</v>
      </c>
      <c r="E118" t="b">
        <v>1</v>
      </c>
      <c r="F118">
        <v>1</v>
      </c>
      <c r="I118" t="s">
        <v>541</v>
      </c>
      <c r="J118">
        <v>3781</v>
      </c>
      <c r="K118">
        <v>196</v>
      </c>
      <c r="L118">
        <v>3396</v>
      </c>
      <c r="M118">
        <v>385</v>
      </c>
      <c r="N118">
        <f t="shared" si="3"/>
        <v>392</v>
      </c>
      <c r="O118">
        <v>391</v>
      </c>
      <c r="P118">
        <v>1</v>
      </c>
      <c r="Q118">
        <v>0</v>
      </c>
      <c r="R118">
        <v>0</v>
      </c>
      <c r="S118" t="s">
        <v>33</v>
      </c>
      <c r="T118" t="str">
        <f>HYPERLINK("https://images.diginfra.net/framed3.html?imagesetuuid=7806433b-7f26-4d4e-8e76-37d108a188de&amp;uri=https://images.diginfra.net/iiif/NL-HaNA_1.01.02/3781/NL-HaNA_1.01.02_3781_0196.jpg", "viewer_url")</f>
        <v>viewer_url</v>
      </c>
      <c r="U118" t="str">
        <f>HYPERLINK("https://images.diginfra.net/iiif/NL-HaNA_1.01.02/3781/NL-HaNA_1.01.02_3781_0196.jpg/3396,385,1107,3146/full/0/default.jpg", "iiif_url")</f>
        <v>iiif_url</v>
      </c>
      <c r="V118" t="s">
        <v>33</v>
      </c>
      <c r="W118" t="s">
        <v>542</v>
      </c>
      <c r="X118" t="str">
        <f>HYPERLINK("https://images.diginfra.net/framed3.html?imagesetuuid=7806433b-7f26-4d4e-8e76-37d108a188de&amp;uri=https://images.diginfra.net/iiif/NL-HaNA_1.01.02/3781/NL-HaNA_1.01.02_3781_0196.jpg", "prev_meeting_viewer_url")</f>
        <v>prev_meeting_viewer_url</v>
      </c>
      <c r="Y118" t="str">
        <f>HYPERLINK("https://images.diginfra.net/iiif/NL-HaNA_1.01.02/3781/NL-HaNA_1.01.02_3781_0196.jpg/214,1622,1097,1781/full/0/default.jpg", "prev_meeting_iiif_url")</f>
        <v>prev_meeting_iiif_url</v>
      </c>
      <c r="Z118" t="s">
        <v>33</v>
      </c>
      <c r="AA118" t="s">
        <v>543</v>
      </c>
      <c r="AB118" t="str">
        <f>HYPERLINK("https://images.diginfra.net/framed3.html?imagesetuuid=7806433b-7f26-4d4e-8e76-37d108a188de&amp;uri=https://images.diginfra.net/iiif/NL-HaNA_1.01.02/3781/NL-HaNA_1.01.02_3781_0197.jpg", "next_meeting_viewer_url")</f>
        <v>next_meeting_viewer_url</v>
      </c>
      <c r="AC118" t="str">
        <f>HYPERLINK("https://images.diginfra.net/iiif/NL-HaNA_1.01.02/3781/NL-HaNA_1.01.02_3781_0197.jpg/3425,1209,1119,2240/full/0/default.jpg", "next_meeting_iiif_url")</f>
        <v>next_meeting_iiif_url</v>
      </c>
    </row>
    <row r="119" spans="1:29" x14ac:dyDescent="0.2">
      <c r="A119" t="s">
        <v>544</v>
      </c>
      <c r="B119" t="s">
        <v>79</v>
      </c>
      <c r="C119" t="s">
        <v>545</v>
      </c>
      <c r="D119" t="b">
        <v>1</v>
      </c>
      <c r="E119" t="b">
        <v>1</v>
      </c>
      <c r="F119">
        <v>1</v>
      </c>
      <c r="I119" t="s">
        <v>546</v>
      </c>
      <c r="J119">
        <v>3788</v>
      </c>
      <c r="K119">
        <v>405</v>
      </c>
      <c r="L119">
        <v>1192</v>
      </c>
      <c r="M119">
        <v>541</v>
      </c>
      <c r="N119">
        <f t="shared" si="3"/>
        <v>810</v>
      </c>
      <c r="O119">
        <v>808</v>
      </c>
      <c r="P119">
        <v>1</v>
      </c>
      <c r="Q119">
        <v>1</v>
      </c>
      <c r="R119">
        <v>0</v>
      </c>
      <c r="S119" t="s">
        <v>33</v>
      </c>
      <c r="T119" t="str">
        <f>HYPERLINK("https://images.diginfra.net/framed3.html?imagesetuuid=0c8f3037-13b3-45f2-b332-cb8940ab7c42&amp;uri=https://images.diginfra.net/iiif/NL-HaNA_1.01.02/3788/NL-HaNA_1.01.02_3788_0405.jpg", "viewer_url")</f>
        <v>viewer_url</v>
      </c>
      <c r="U119" t="str">
        <f>HYPERLINK("https://images.diginfra.net/iiif/NL-HaNA_1.01.02/3788/NL-HaNA_1.01.02_3788_0405.jpg/1192,541,1089,2874/full/0/default.jpg", "iiif_url")</f>
        <v>iiif_url</v>
      </c>
      <c r="V119" t="s">
        <v>33</v>
      </c>
      <c r="W119" t="s">
        <v>547</v>
      </c>
      <c r="X119" t="str">
        <f>HYPERLINK("https://images.diginfra.net/framed3.html?imagesetuuid=0c8f3037-13b3-45f2-b332-cb8940ab7c42&amp;uri=https://images.diginfra.net/iiif/NL-HaNA_1.01.02/3788/NL-HaNA_1.01.02_3788_0404.jpg", "prev_meeting_viewer_url")</f>
        <v>prev_meeting_viewer_url</v>
      </c>
      <c r="Y119" t="str">
        <f>HYPERLINK("https://images.diginfra.net/iiif/NL-HaNA_1.01.02/3788/NL-HaNA_1.01.02_3788_0404.jpg/232,501,1113,2906/full/0/default.jpg", "prev_meeting_iiif_url")</f>
        <v>prev_meeting_iiif_url</v>
      </c>
      <c r="Z119" t="s">
        <v>33</v>
      </c>
      <c r="AA119" t="s">
        <v>548</v>
      </c>
      <c r="AB119" t="str">
        <f>HYPERLINK("https://images.diginfra.net/framed3.html?imagesetuuid=0c8f3037-13b3-45f2-b332-cb8940ab7c42&amp;uri=https://images.diginfra.net/iiif/NL-HaNA_1.01.02/3788/NL-HaNA_1.01.02_3788_0405.jpg", "next_meeting_viewer_url")</f>
        <v>next_meeting_viewer_url</v>
      </c>
      <c r="AC119" t="str">
        <f>HYPERLINK("https://images.diginfra.net/iiif/NL-HaNA_1.01.02/3788/NL-HaNA_1.01.02_3788_0405.jpg/3224,2078,1077,1360/full/0/default.jpg", "next_meeting_iiif_url")</f>
        <v>next_meeting_iiif_url</v>
      </c>
    </row>
    <row r="120" spans="1:29" x14ac:dyDescent="0.2">
      <c r="A120" t="s">
        <v>549</v>
      </c>
      <c r="B120" t="s">
        <v>30</v>
      </c>
      <c r="C120" t="s">
        <v>550</v>
      </c>
      <c r="D120" t="b">
        <v>1</v>
      </c>
      <c r="E120" t="b">
        <v>1</v>
      </c>
      <c r="F120">
        <v>1</v>
      </c>
      <c r="I120" t="s">
        <v>551</v>
      </c>
      <c r="J120">
        <v>3801</v>
      </c>
      <c r="K120">
        <v>474</v>
      </c>
      <c r="L120">
        <v>3330</v>
      </c>
      <c r="M120">
        <v>1447</v>
      </c>
      <c r="N120">
        <f t="shared" si="3"/>
        <v>948</v>
      </c>
      <c r="O120">
        <v>947</v>
      </c>
      <c r="P120">
        <v>1</v>
      </c>
      <c r="Q120">
        <v>1</v>
      </c>
      <c r="R120">
        <v>0</v>
      </c>
      <c r="S120" t="s">
        <v>33</v>
      </c>
      <c r="T120" t="str">
        <f>HYPERLINK("https://images.diginfra.net/framed3.html?imagesetuuid=f36c8416-59a8-4b1a-a82a-ef225cbd1971&amp;uri=https://images.diginfra.net/iiif/NL-HaNA_1.01.02/3801/NL-HaNA_1.01.02_3801_0474.jpg", "viewer_url")</f>
        <v>viewer_url</v>
      </c>
      <c r="U120" t="str">
        <f>HYPERLINK("https://images.diginfra.net/iiif/NL-HaNA_1.01.02/3801/NL-HaNA_1.01.02_3801_0474.jpg/3330,1447,1100,1954/full/0/default.jpg", "iiif_url")</f>
        <v>iiif_url</v>
      </c>
      <c r="V120" t="s">
        <v>33</v>
      </c>
      <c r="W120" t="s">
        <v>552</v>
      </c>
      <c r="X120" t="str">
        <f>HYPERLINK("https://images.diginfra.net/framed3.html?imagesetuuid=f36c8416-59a8-4b1a-a82a-ef225cbd1971&amp;uri=https://images.diginfra.net/iiif/NL-HaNA_1.01.02/3801/NL-HaNA_1.01.02_3801_0473.jpg", "prev_meeting_viewer_url")</f>
        <v>prev_meeting_viewer_url</v>
      </c>
      <c r="Y120" t="str">
        <f>HYPERLINK("https://images.diginfra.net/iiif/NL-HaNA_1.01.02/3801/NL-HaNA_1.01.02_3801_0473.jpg/1220,851,1088,2449/full/0/default.jpg", "prev_meeting_iiif_url")</f>
        <v>prev_meeting_iiif_url</v>
      </c>
      <c r="Z120" t="s">
        <v>33</v>
      </c>
      <c r="AA120" t="s">
        <v>553</v>
      </c>
      <c r="AB120" t="str">
        <f>HYPERLINK("https://images.diginfra.net/framed3.html?imagesetuuid=f36c8416-59a8-4b1a-a82a-ef225cbd1971&amp;uri=https://images.diginfra.net/iiif/NL-HaNA_1.01.02/3801/NL-HaNA_1.01.02_3801_0476.jpg", "next_meeting_viewer_url")</f>
        <v>next_meeting_viewer_url</v>
      </c>
      <c r="AC120" t="str">
        <f>HYPERLINK("https://images.diginfra.net/iiif/NL-HaNA_1.01.02/3801/NL-HaNA_1.01.02_3801_0476.jpg/352,1209,1090,2165/full/0/default.jpg", "next_meeting_iiif_url")</f>
        <v>next_meeting_iiif_url</v>
      </c>
    </row>
    <row r="121" spans="1:29" x14ac:dyDescent="0.2">
      <c r="A121" t="s">
        <v>554</v>
      </c>
      <c r="B121" t="s">
        <v>48</v>
      </c>
      <c r="C121" t="s">
        <v>555</v>
      </c>
      <c r="D121" t="b">
        <v>1</v>
      </c>
      <c r="E121" t="b">
        <v>1</v>
      </c>
      <c r="F121">
        <v>1</v>
      </c>
      <c r="I121" t="s">
        <v>556</v>
      </c>
      <c r="J121">
        <v>3797</v>
      </c>
      <c r="K121">
        <v>157</v>
      </c>
      <c r="L121">
        <v>335</v>
      </c>
      <c r="M121">
        <v>2589</v>
      </c>
      <c r="N121">
        <f t="shared" si="3"/>
        <v>314</v>
      </c>
      <c r="O121">
        <v>312</v>
      </c>
      <c r="P121">
        <v>0</v>
      </c>
      <c r="Q121">
        <v>3</v>
      </c>
      <c r="R121">
        <v>0</v>
      </c>
      <c r="S121" t="s">
        <v>33</v>
      </c>
      <c r="T121" t="str">
        <f>HYPERLINK("https://images.diginfra.net/framed3.html?imagesetuuid=02516f87-475f-4001-a332-8d96f5aecb93&amp;uri=https://images.diginfra.net/iiif/NL-HaNA_1.01.02/3797/NL-HaNA_1.01.02_3797_0157.jpg", "viewer_url")</f>
        <v>viewer_url</v>
      </c>
      <c r="U121" t="str">
        <f>HYPERLINK("https://images.diginfra.net/iiif/NL-HaNA_1.01.02/3797/NL-HaNA_1.01.02_3797_0157.jpg/335,2589,1031,781/full/0/default.jpg", "iiif_url")</f>
        <v>iiif_url</v>
      </c>
      <c r="V121" t="s">
        <v>33</v>
      </c>
      <c r="W121" t="s">
        <v>557</v>
      </c>
      <c r="X121" t="str">
        <f>HYPERLINK("https://images.diginfra.net/framed3.html?imagesetuuid=02516f87-475f-4001-a332-8d96f5aecb93&amp;uri=https://images.diginfra.net/iiif/NL-HaNA_1.01.02/3797/NL-HaNA_1.01.02_3797_0156.jpg", "prev_meeting_viewer_url")</f>
        <v>prev_meeting_viewer_url</v>
      </c>
      <c r="Y121" t="str">
        <f>HYPERLINK("https://images.diginfra.net/iiif/NL-HaNA_1.01.02/3797/NL-HaNA_1.01.02_3797_0156.jpg/226,1067,1103,2324/full/0/default.jpg", "prev_meeting_iiif_url")</f>
        <v>prev_meeting_iiif_url</v>
      </c>
      <c r="Z121" t="s">
        <v>33</v>
      </c>
      <c r="AA121" t="s">
        <v>558</v>
      </c>
      <c r="AB121" t="str">
        <f>HYPERLINK("https://images.diginfra.net/framed3.html?imagesetuuid=02516f87-475f-4001-a332-8d96f5aecb93&amp;uri=https://images.diginfra.net/iiif/NL-HaNA_1.01.02/3797/NL-HaNA_1.01.02_3797_0160.jpg", "next_meeting_viewer_url")</f>
        <v>next_meeting_viewer_url</v>
      </c>
      <c r="AC121" t="str">
        <f>HYPERLINK("https://images.diginfra.net/iiif/NL-HaNA_1.01.02/3797/NL-HaNA_1.01.02_3797_0160.jpg/328,1880,1064,1448/full/0/default.jpg", "next_meeting_iiif_url")</f>
        <v>next_meeting_iiif_url</v>
      </c>
    </row>
    <row r="122" spans="1:29" x14ac:dyDescent="0.2">
      <c r="A122" t="s">
        <v>559</v>
      </c>
      <c r="B122" t="s">
        <v>37</v>
      </c>
      <c r="C122" t="s">
        <v>560</v>
      </c>
      <c r="D122" t="b">
        <v>1</v>
      </c>
      <c r="E122" t="b">
        <v>1</v>
      </c>
      <c r="F122">
        <v>1</v>
      </c>
      <c r="I122" t="s">
        <v>561</v>
      </c>
      <c r="J122">
        <v>3801</v>
      </c>
      <c r="K122">
        <v>245</v>
      </c>
      <c r="L122">
        <v>317</v>
      </c>
      <c r="M122">
        <v>1830</v>
      </c>
      <c r="N122">
        <f t="shared" si="3"/>
        <v>490</v>
      </c>
      <c r="O122">
        <v>488</v>
      </c>
      <c r="P122">
        <v>0</v>
      </c>
      <c r="Q122">
        <v>1</v>
      </c>
      <c r="R122">
        <v>0</v>
      </c>
      <c r="S122" t="s">
        <v>33</v>
      </c>
      <c r="T122" t="str">
        <f>HYPERLINK("https://images.diginfra.net/framed3.html?imagesetuuid=f36c8416-59a8-4b1a-a82a-ef225cbd1971&amp;uri=https://images.diginfra.net/iiif/NL-HaNA_1.01.02/3801/NL-HaNA_1.01.02_3801_0245.jpg", "viewer_url")</f>
        <v>viewer_url</v>
      </c>
      <c r="U122" t="str">
        <f>HYPERLINK("https://images.diginfra.net/iiif/NL-HaNA_1.01.02/3801/NL-HaNA_1.01.02_3801_0245.jpg/317,1830,1085,1503/full/0/default.jpg", "iiif_url")</f>
        <v>iiif_url</v>
      </c>
      <c r="V122" t="s">
        <v>33</v>
      </c>
      <c r="W122" t="s">
        <v>562</v>
      </c>
      <c r="X122" t="str">
        <f>HYPERLINK("https://images.diginfra.net/framed3.html?imagesetuuid=f36c8416-59a8-4b1a-a82a-ef225cbd1971&amp;uri=https://images.diginfra.net/iiif/NL-HaNA_1.01.02/3801/NL-HaNA_1.01.02_3801_0244.jpg", "prev_meeting_viewer_url")</f>
        <v>prev_meeting_viewer_url</v>
      </c>
      <c r="Y122" t="str">
        <f>HYPERLINK("https://images.diginfra.net/iiif/NL-HaNA_1.01.02/3801/NL-HaNA_1.01.02_3801_0244.jpg/2407,1754,1076,1467/full/0/default.jpg", "prev_meeting_iiif_url")</f>
        <v>prev_meeting_iiif_url</v>
      </c>
      <c r="Z122" t="s">
        <v>33</v>
      </c>
      <c r="AA122" t="s">
        <v>563</v>
      </c>
      <c r="AB122" t="str">
        <f>HYPERLINK("https://images.diginfra.net/framed3.html?imagesetuuid=f36c8416-59a8-4b1a-a82a-ef225cbd1971&amp;uri=https://images.diginfra.net/iiif/NL-HaNA_1.01.02/3801/NL-HaNA_1.01.02_3801_0247.jpg", "next_meeting_viewer_url")</f>
        <v>next_meeting_viewer_url</v>
      </c>
      <c r="AC122" t="str">
        <f>HYPERLINK("https://images.diginfra.net/iiif/NL-HaNA_1.01.02/3801/NL-HaNA_1.01.02_3801_0247.jpg/2372,1290,1099,2042/full/0/default.jpg", "next_meeting_iiif_url")</f>
        <v>next_meeting_iiif_url</v>
      </c>
    </row>
    <row r="123" spans="1:29" x14ac:dyDescent="0.2">
      <c r="A123" t="s">
        <v>564</v>
      </c>
      <c r="B123" t="s">
        <v>37</v>
      </c>
      <c r="C123" t="s">
        <v>565</v>
      </c>
      <c r="D123" t="b">
        <v>1</v>
      </c>
      <c r="E123" t="b">
        <v>1</v>
      </c>
      <c r="F123">
        <v>1</v>
      </c>
      <c r="I123" t="s">
        <v>566</v>
      </c>
      <c r="J123">
        <v>3781</v>
      </c>
      <c r="K123">
        <v>338</v>
      </c>
      <c r="L123">
        <v>301</v>
      </c>
      <c r="M123">
        <v>327</v>
      </c>
      <c r="N123">
        <f t="shared" si="3"/>
        <v>676</v>
      </c>
      <c r="O123">
        <v>674</v>
      </c>
      <c r="P123">
        <v>0</v>
      </c>
      <c r="Q123">
        <v>0</v>
      </c>
      <c r="R123">
        <v>0</v>
      </c>
      <c r="S123" t="s">
        <v>33</v>
      </c>
      <c r="T123" t="str">
        <f>HYPERLINK("https://images.diginfra.net/framed3.html?imagesetuuid=7806433b-7f26-4d4e-8e76-37d108a188de&amp;uri=https://images.diginfra.net/iiif/NL-HaNA_1.01.02/3781/NL-HaNA_1.01.02_3781_0338.jpg", "viewer_url")</f>
        <v>viewer_url</v>
      </c>
      <c r="U123" t="str">
        <f>HYPERLINK("https://images.diginfra.net/iiif/NL-HaNA_1.01.02/3781/NL-HaNA_1.01.02_3781_0338.jpg/301,327,1103,3056/full/0/default.jpg", "iiif_url")</f>
        <v>iiif_url</v>
      </c>
      <c r="V123" t="s">
        <v>33</v>
      </c>
      <c r="W123" t="s">
        <v>567</v>
      </c>
      <c r="X123" t="str">
        <f>HYPERLINK("https://images.diginfra.net/framed3.html?imagesetuuid=7806433b-7f26-4d4e-8e76-37d108a188de&amp;uri=https://images.diginfra.net/iiif/NL-HaNA_1.01.02/3781/NL-HaNA_1.01.02_3781_0336.jpg", "prev_meeting_viewer_url")</f>
        <v>prev_meeting_viewer_url</v>
      </c>
      <c r="Y123" t="str">
        <f>HYPERLINK("https://images.diginfra.net/iiif/NL-HaNA_1.01.02/3781/NL-HaNA_1.01.02_3781_0336.jpg/3443,1652,1094,1800/full/0/default.jpg", "prev_meeting_iiif_url")</f>
        <v>prev_meeting_iiif_url</v>
      </c>
      <c r="Z123" t="s">
        <v>33</v>
      </c>
      <c r="AA123" t="s">
        <v>568</v>
      </c>
      <c r="AB123" t="str">
        <f>HYPERLINK("https://images.diginfra.net/framed3.html?imagesetuuid=7806433b-7f26-4d4e-8e76-37d108a188de&amp;uri=https://images.diginfra.net/iiif/NL-HaNA_1.01.02/3781/NL-HaNA_1.01.02_3781_0339.jpg", "next_meeting_viewer_url")</f>
        <v>next_meeting_viewer_url</v>
      </c>
      <c r="AC123" t="str">
        <f>HYPERLINK("https://images.diginfra.net/iiif/NL-HaNA_1.01.02/3781/NL-HaNA_1.01.02_3781_0339.jpg/1217,1627,1106,1821/full/0/default.jpg", "next_meeting_iiif_url")</f>
        <v>next_meeting_iiif_url</v>
      </c>
    </row>
    <row r="124" spans="1:29" x14ac:dyDescent="0.2">
      <c r="A124" t="s">
        <v>569</v>
      </c>
      <c r="B124" t="s">
        <v>79</v>
      </c>
      <c r="C124" t="s">
        <v>570</v>
      </c>
      <c r="D124" t="b">
        <v>1</v>
      </c>
      <c r="E124" t="b">
        <v>1</v>
      </c>
      <c r="F124">
        <v>1</v>
      </c>
      <c r="I124" t="s">
        <v>571</v>
      </c>
      <c r="J124">
        <v>3815</v>
      </c>
      <c r="K124">
        <v>511</v>
      </c>
      <c r="L124">
        <v>268</v>
      </c>
      <c r="M124">
        <v>2016</v>
      </c>
      <c r="N124">
        <f t="shared" si="3"/>
        <v>1022</v>
      </c>
      <c r="O124">
        <v>1020</v>
      </c>
      <c r="P124">
        <v>0</v>
      </c>
      <c r="Q124">
        <v>0</v>
      </c>
      <c r="R124">
        <v>41</v>
      </c>
      <c r="S124" t="s">
        <v>33</v>
      </c>
      <c r="T124" t="str">
        <f>HYPERLINK("https://images.diginfra.net/framed3.html?imagesetuuid=c649f39d-5b94-4d9d-8000-33acd4342c36&amp;uri=https://images.diginfra.net/iiif/NL-HaNA_1.01.02/3815/NL-HaNA_1.01.02_3815_0511.jpg", "viewer_url")</f>
        <v>viewer_url</v>
      </c>
      <c r="U124" t="str">
        <f>HYPERLINK("https://images.diginfra.net/iiif/NL-HaNA_1.01.02/3815/NL-HaNA_1.01.02_3815_0511.jpg/268,2016,1112,1342/full/0/default.jpg", "iiif_url")</f>
        <v>iiif_url</v>
      </c>
      <c r="V124" t="s">
        <v>33</v>
      </c>
      <c r="W124" t="s">
        <v>572</v>
      </c>
      <c r="X124" t="str">
        <f>HYPERLINK("https://images.diginfra.net/framed3.html?imagesetuuid=c649f39d-5b94-4d9d-8000-33acd4342c36&amp;uri=https://images.diginfra.net/iiif/NL-HaNA_1.01.02/3815/NL-HaNA_1.01.02_3815_0506.jpg", "prev_meeting_viewer_url")</f>
        <v>prev_meeting_viewer_url</v>
      </c>
      <c r="Y124" t="str">
        <f>HYPERLINK("https://images.diginfra.net/iiif/NL-HaNA_1.01.02/3815/NL-HaNA_1.01.02_3815_0506.jpg/1234,1882,1110,1524/full/0/default.jpg", "prev_meeting_iiif_url")</f>
        <v>prev_meeting_iiif_url</v>
      </c>
      <c r="Z124" t="s">
        <v>33</v>
      </c>
      <c r="AA124" t="s">
        <v>573</v>
      </c>
      <c r="AB124" t="str">
        <f>HYPERLINK("https://images.diginfra.net/framed3.html?imagesetuuid=c649f39d-5b94-4d9d-8000-33acd4342c36&amp;uri=https://images.diginfra.net/iiif/NL-HaNA_1.01.02/3815/NL-HaNA_1.01.02_3815_0512.jpg", "next_meeting_viewer_url")</f>
        <v>next_meeting_viewer_url</v>
      </c>
      <c r="AC124" t="str">
        <f>HYPERLINK("https://images.diginfra.net/iiif/NL-HaNA_1.01.02/3815/NL-HaNA_1.01.02_3815_0512.jpg/3332,2333,1054,1081/full/0/default.jpg", "next_meeting_iiif_url")</f>
        <v>next_meeting_iiif_url</v>
      </c>
    </row>
    <row r="125" spans="1:29" x14ac:dyDescent="0.2">
      <c r="A125" t="s">
        <v>574</v>
      </c>
      <c r="B125" t="s">
        <v>48</v>
      </c>
      <c r="C125" t="s">
        <v>575</v>
      </c>
      <c r="D125" t="b">
        <v>1</v>
      </c>
      <c r="E125" t="b">
        <v>1</v>
      </c>
      <c r="F125">
        <v>1</v>
      </c>
      <c r="I125" t="s">
        <v>576</v>
      </c>
      <c r="J125">
        <v>3848</v>
      </c>
      <c r="K125">
        <v>265</v>
      </c>
      <c r="L125">
        <v>1254</v>
      </c>
      <c r="M125">
        <v>2488</v>
      </c>
      <c r="N125">
        <f t="shared" si="3"/>
        <v>530</v>
      </c>
      <c r="O125">
        <v>528</v>
      </c>
      <c r="P125">
        <v>1</v>
      </c>
      <c r="Q125">
        <v>2</v>
      </c>
      <c r="R125">
        <v>0</v>
      </c>
      <c r="S125" t="s">
        <v>33</v>
      </c>
      <c r="T125" t="str">
        <f>HYPERLINK("https://images.diginfra.net/framed3.html?imagesetuuid=0359a1ea-7930-4de5-8687-7aa11d9043bd&amp;uri=https://images.diginfra.net/iiif/NL-HaNA_1.01.02/3848/NL-HaNA_1.01.02_3848_0265.jpg", "viewer_url")</f>
        <v>viewer_url</v>
      </c>
      <c r="U125" t="str">
        <f>HYPERLINK("https://images.diginfra.net/iiif/NL-HaNA_1.01.02/3848/NL-HaNA_1.01.02_3848_0265.jpg/1254,2488,1019,877/full/0/default.jpg", "iiif_url")</f>
        <v>iiif_url</v>
      </c>
      <c r="V125" t="s">
        <v>33</v>
      </c>
      <c r="W125" t="s">
        <v>577</v>
      </c>
      <c r="X125" t="str">
        <f>HYPERLINK("https://images.diginfra.net/framed3.html?imagesetuuid=0359a1ea-7930-4de5-8687-7aa11d9043bd&amp;uri=https://images.diginfra.net/iiif/NL-HaNA_1.01.02/3848/NL-HaNA_1.01.02_3848_0261.jpg", "prev_meeting_viewer_url")</f>
        <v>prev_meeting_viewer_url</v>
      </c>
      <c r="Y125" t="str">
        <f>HYPERLINK("https://images.diginfra.net/iiif/NL-HaNA_1.01.02/3848/NL-HaNA_1.01.02_3848_0261.jpg/314,2077,1023,1298/full/0/default.jpg", "prev_meeting_iiif_url")</f>
        <v>prev_meeting_iiif_url</v>
      </c>
      <c r="Z125" t="s">
        <v>33</v>
      </c>
      <c r="AA125" t="s">
        <v>578</v>
      </c>
      <c r="AB125" t="str">
        <f>HYPERLINK("https://images.diginfra.net/framed3.html?imagesetuuid=0359a1ea-7930-4de5-8687-7aa11d9043bd&amp;uri=https://images.diginfra.net/iiif/NL-HaNA_1.01.02/3848/NL-HaNA_1.01.02_3848_0268.jpg", "next_meeting_viewer_url")</f>
        <v>next_meeting_viewer_url</v>
      </c>
      <c r="AC125" t="str">
        <f>HYPERLINK("https://images.diginfra.net/iiif/NL-HaNA_1.01.02/3848/NL-HaNA_1.01.02_3848_0268.jpg/286,2227,1017,1196/full/0/default.jpg", "next_meeting_iiif_url")</f>
        <v>next_meeting_iiif_url</v>
      </c>
    </row>
    <row r="126" spans="1:29" x14ac:dyDescent="0.2">
      <c r="A126" t="s">
        <v>579</v>
      </c>
      <c r="B126" t="s">
        <v>59</v>
      </c>
      <c r="C126" t="s">
        <v>580</v>
      </c>
      <c r="D126" t="b">
        <v>1</v>
      </c>
      <c r="E126" t="b">
        <v>1</v>
      </c>
      <c r="F126">
        <v>1</v>
      </c>
      <c r="I126" t="s">
        <v>581</v>
      </c>
      <c r="J126">
        <v>3765</v>
      </c>
      <c r="K126">
        <v>510</v>
      </c>
      <c r="L126">
        <v>3455</v>
      </c>
      <c r="M126">
        <v>276</v>
      </c>
      <c r="N126">
        <f t="shared" si="3"/>
        <v>1020</v>
      </c>
      <c r="O126">
        <v>1019</v>
      </c>
      <c r="P126">
        <v>1</v>
      </c>
      <c r="Q126">
        <v>0</v>
      </c>
      <c r="R126">
        <v>0</v>
      </c>
      <c r="S126" t="s">
        <v>33</v>
      </c>
      <c r="T126" t="str">
        <f>HYPERLINK("https://images.diginfra.net/framed3.html?imagesetuuid=4dfc1a1b-8cdf-4492-b411-5e67950ce484&amp;uri=https://images.diginfra.net/iiif/NL-HaNA_1.01.02/3765/NL-HaNA_1.01.02_3765_0510.jpg", "viewer_url")</f>
        <v>viewer_url</v>
      </c>
      <c r="U126" t="str">
        <f>HYPERLINK("https://images.diginfra.net/iiif/NL-HaNA_1.01.02/3765/NL-HaNA_1.01.02_3765_0510.jpg/3455,276,1120,3122/full/0/default.jpg", "iiif_url")</f>
        <v>iiif_url</v>
      </c>
      <c r="V126" t="s">
        <v>33</v>
      </c>
      <c r="X126" t="str">
        <f>HYPERLINK("https://images.diginfra.net/framed3.html?imagesetuuid=4dfc1a1b-8cdf-4492-b411-5e67950ce484&amp;uri=https://images.diginfra.net/iiif/NL-HaNA_1.01.02/3765/NL-HaNA_1.01.02_3765_0509.jpg", "prev_meeting_viewer_url")</f>
        <v>prev_meeting_viewer_url</v>
      </c>
      <c r="Y126" t="str">
        <f>HYPERLINK("https://images.diginfra.net/iiif/NL-HaNA_1.01.02/3765/NL-HaNA_1.01.02_3765_0509.jpg/1207,300,1126,3023/full/0/default.jpg", "prev_meeting_iiif_url")</f>
        <v>prev_meeting_iiif_url</v>
      </c>
      <c r="Z126" t="s">
        <v>33</v>
      </c>
      <c r="AA126" t="s">
        <v>582</v>
      </c>
      <c r="AB126" t="str">
        <f>HYPERLINK("https://images.diginfra.net/framed3.html?imagesetuuid=4dfc1a1b-8cdf-4492-b411-5e67950ce484&amp;uri=https://images.diginfra.net/iiif/NL-HaNA_1.01.02/3765/NL-HaNA_1.01.02_3765_0511.jpg", "next_meeting_viewer_url")</f>
        <v>next_meeting_viewer_url</v>
      </c>
      <c r="AC126" t="str">
        <f>HYPERLINK("https://images.diginfra.net/iiif/NL-HaNA_1.01.02/3765/NL-HaNA_1.01.02_3765_0511.jpg/3527,2568,1055,786/full/0/default.jpg", "next_meeting_iiif_url")</f>
        <v>next_meeting_iiif_url</v>
      </c>
    </row>
    <row r="127" spans="1:29" x14ac:dyDescent="0.2">
      <c r="A127" t="s">
        <v>583</v>
      </c>
      <c r="B127" t="s">
        <v>79</v>
      </c>
      <c r="C127" t="s">
        <v>584</v>
      </c>
      <c r="D127" t="b">
        <v>1</v>
      </c>
      <c r="E127" t="b">
        <v>1</v>
      </c>
      <c r="F127">
        <v>1</v>
      </c>
      <c r="I127" t="s">
        <v>585</v>
      </c>
      <c r="J127">
        <v>3796</v>
      </c>
      <c r="K127">
        <v>404</v>
      </c>
      <c r="L127">
        <v>3354</v>
      </c>
      <c r="M127">
        <v>1615</v>
      </c>
      <c r="N127">
        <f t="shared" si="3"/>
        <v>808</v>
      </c>
      <c r="O127">
        <v>807</v>
      </c>
      <c r="P127">
        <v>1</v>
      </c>
      <c r="Q127">
        <v>1</v>
      </c>
      <c r="R127">
        <v>0</v>
      </c>
      <c r="S127" t="s">
        <v>33</v>
      </c>
      <c r="T127" t="str">
        <f>HYPERLINK("https://images.diginfra.net/framed3.html?imagesetuuid=ece8f80b-0549-4e73-82ff-af47ed8525ac&amp;uri=https://images.diginfra.net/iiif/NL-HaNA_1.01.02/3796/NL-HaNA_1.01.02_3796_0404.jpg", "viewer_url")</f>
        <v>viewer_url</v>
      </c>
      <c r="U127" t="str">
        <f>HYPERLINK("https://images.diginfra.net/iiif/NL-HaNA_1.01.02/3796/NL-HaNA_1.01.02_3796_0404.jpg/3354,1615,1086,1787/full/0/default.jpg", "iiif_url")</f>
        <v>iiif_url</v>
      </c>
      <c r="V127" t="s">
        <v>33</v>
      </c>
      <c r="W127" t="s">
        <v>586</v>
      </c>
      <c r="X127" t="str">
        <f>HYPERLINK("https://images.diginfra.net/framed3.html?imagesetuuid=ece8f80b-0549-4e73-82ff-af47ed8525ac&amp;uri=https://images.diginfra.net/iiif/NL-HaNA_1.01.02/3796/NL-HaNA_1.01.02_3796_0404.jpg", "prev_meeting_viewer_url")</f>
        <v>prev_meeting_viewer_url</v>
      </c>
      <c r="Y127" t="str">
        <f>HYPERLINK("https://images.diginfra.net/iiif/NL-HaNA_1.01.02/3796/NL-HaNA_1.01.02_3796_0404.jpg/275,305,1087,3104/full/0/default.jpg", "prev_meeting_iiif_url")</f>
        <v>prev_meeting_iiif_url</v>
      </c>
      <c r="Z127" t="s">
        <v>33</v>
      </c>
      <c r="AA127" t="s">
        <v>587</v>
      </c>
      <c r="AB127" t="str">
        <f>HYPERLINK("https://images.diginfra.net/framed3.html?imagesetuuid=ece8f80b-0549-4e73-82ff-af47ed8525ac&amp;uri=https://images.diginfra.net/iiif/NL-HaNA_1.01.02/3796/NL-HaNA_1.01.02_3796_0405.jpg", "next_meeting_viewer_url")</f>
        <v>next_meeting_viewer_url</v>
      </c>
      <c r="AC127" t="str">
        <f>HYPERLINK("https://images.diginfra.net/iiif/NL-HaNA_1.01.02/3796/NL-HaNA_1.01.02_3796_0405.jpg/3368,1169,1079,2196/full/0/default.jpg", "next_meeting_iiif_url")</f>
        <v>next_meeting_iiif_url</v>
      </c>
    </row>
    <row r="128" spans="1:29" x14ac:dyDescent="0.2">
      <c r="A128" t="s">
        <v>588</v>
      </c>
      <c r="B128" t="s">
        <v>48</v>
      </c>
      <c r="C128" t="s">
        <v>414</v>
      </c>
      <c r="D128" t="b">
        <v>1</v>
      </c>
      <c r="E128" t="b">
        <v>1</v>
      </c>
      <c r="F128">
        <v>1</v>
      </c>
      <c r="I128" t="s">
        <v>589</v>
      </c>
      <c r="J128">
        <v>3810</v>
      </c>
      <c r="K128">
        <v>84</v>
      </c>
      <c r="L128">
        <v>3369</v>
      </c>
      <c r="M128">
        <v>2440</v>
      </c>
      <c r="N128">
        <f t="shared" si="3"/>
        <v>168</v>
      </c>
      <c r="O128">
        <v>167</v>
      </c>
      <c r="P128">
        <v>1</v>
      </c>
      <c r="Q128">
        <v>1</v>
      </c>
      <c r="R128">
        <v>0</v>
      </c>
      <c r="S128" t="s">
        <v>33</v>
      </c>
      <c r="T128" t="str">
        <f>HYPERLINK("https://images.diginfra.net/framed3.html?imagesetuuid=c09819be-7a72-4ff1-ad38-883712386d5f&amp;uri=https://images.diginfra.net/iiif/NL-HaNA_1.01.02/3810/NL-HaNA_1.01.02_3810_0084.jpg", "viewer_url")</f>
        <v>viewer_url</v>
      </c>
      <c r="U128" t="str">
        <f>HYPERLINK("https://images.diginfra.net/iiif/NL-HaNA_1.01.02/3810/NL-HaNA_1.01.02_3810_0084.jpg/3369,2440,1032,985/full/0/default.jpg", "iiif_url")</f>
        <v>iiif_url</v>
      </c>
      <c r="V128" t="s">
        <v>33</v>
      </c>
      <c r="W128" t="s">
        <v>590</v>
      </c>
      <c r="X128" t="str">
        <f>HYPERLINK("https://images.diginfra.net/framed3.html?imagesetuuid=c09819be-7a72-4ff1-ad38-883712386d5f&amp;uri=https://images.diginfra.net/iiif/NL-HaNA_1.01.02/3810/NL-HaNA_1.01.02_3810_0084.jpg", "prev_meeting_viewer_url")</f>
        <v>prev_meeting_viewer_url</v>
      </c>
      <c r="Y128" t="str">
        <f>HYPERLINK("https://images.diginfra.net/iiif/NL-HaNA_1.01.02/3810/NL-HaNA_1.01.02_3810_0084.jpg/263,2274,1052,1082/full/0/default.jpg", "prev_meeting_iiif_url")</f>
        <v>prev_meeting_iiif_url</v>
      </c>
      <c r="Z128" t="s">
        <v>33</v>
      </c>
      <c r="AA128" t="s">
        <v>591</v>
      </c>
      <c r="AB128" t="str">
        <f>HYPERLINK("https://images.diginfra.net/framed3.html?imagesetuuid=c09819be-7a72-4ff1-ad38-883712386d5f&amp;uri=https://images.diginfra.net/iiif/NL-HaNA_1.01.02/3810/NL-HaNA_1.01.02_3810_0087.jpg", "next_meeting_viewer_url")</f>
        <v>next_meeting_viewer_url</v>
      </c>
      <c r="AC128" t="str">
        <f>HYPERLINK("https://images.diginfra.net/iiif/NL-HaNA_1.01.02/3810/NL-HaNA_1.01.02_3810_0087.jpg/233,1811,1094,1616/full/0/default.jpg", "next_meeting_iiif_url")</f>
        <v>next_meeting_iiif_url</v>
      </c>
    </row>
    <row r="129" spans="1:29" x14ac:dyDescent="0.2">
      <c r="A129" t="s">
        <v>592</v>
      </c>
      <c r="B129" t="s">
        <v>85</v>
      </c>
      <c r="C129" t="s">
        <v>593</v>
      </c>
      <c r="D129" t="b">
        <v>1</v>
      </c>
      <c r="E129" t="b">
        <v>1</v>
      </c>
      <c r="F129">
        <v>1</v>
      </c>
      <c r="I129" t="s">
        <v>594</v>
      </c>
      <c r="J129">
        <v>3811</v>
      </c>
      <c r="K129">
        <v>346</v>
      </c>
      <c r="L129">
        <v>3312</v>
      </c>
      <c r="M129">
        <v>633</v>
      </c>
      <c r="N129">
        <f t="shared" si="3"/>
        <v>692</v>
      </c>
      <c r="O129">
        <v>691</v>
      </c>
      <c r="P129">
        <v>1</v>
      </c>
      <c r="Q129">
        <v>0</v>
      </c>
      <c r="R129">
        <v>8</v>
      </c>
      <c r="S129" t="s">
        <v>33</v>
      </c>
      <c r="T129" t="str">
        <f>HYPERLINK("https://images.diginfra.net/framed3.html?imagesetuuid=f707f64c-15ec-4624-ba99-82cb83d16c2c&amp;uri=https://images.diginfra.net/iiif/NL-HaNA_1.01.02/3811/NL-HaNA_1.01.02_3811_0346.jpg", "viewer_url")</f>
        <v>viewer_url</v>
      </c>
      <c r="U129" t="str">
        <f>HYPERLINK("https://images.diginfra.net/iiif/NL-HaNA_1.01.02/3811/NL-HaNA_1.01.02_3811_0346.jpg/3312,633,1100,2777/full/0/default.jpg", "iiif_url")</f>
        <v>iiif_url</v>
      </c>
      <c r="V129" t="s">
        <v>33</v>
      </c>
      <c r="W129" t="s">
        <v>595</v>
      </c>
      <c r="X129" t="str">
        <f>HYPERLINK("https://images.diginfra.net/framed3.html?imagesetuuid=f707f64c-15ec-4624-ba99-82cb83d16c2c&amp;uri=https://images.diginfra.net/iiif/NL-HaNA_1.01.02/3811/NL-HaNA_1.01.02_3811_0345.jpg", "prev_meeting_viewer_url")</f>
        <v>prev_meeting_viewer_url</v>
      </c>
      <c r="Y129" t="str">
        <f>HYPERLINK("https://images.diginfra.net/iiif/NL-HaNA_1.01.02/3811/NL-HaNA_1.01.02_3811_0345.jpg/2388,2561,1059,888/full/0/default.jpg", "prev_meeting_iiif_url")</f>
        <v>prev_meeting_iiif_url</v>
      </c>
      <c r="Z129" t="s">
        <v>44</v>
      </c>
      <c r="AA129" t="s">
        <v>596</v>
      </c>
      <c r="AB129" t="str">
        <f>HYPERLINK("https://images.diginfra.net/framed3.html?imagesetuuid=f707f64c-15ec-4624-ba99-82cb83d16c2c&amp;uri=https://images.diginfra.net/iiif/NL-HaNA_1.01.02/3811/NL-HaNA_1.01.02_3811_0348.jpg", "next_meeting_viewer_url")</f>
        <v>next_meeting_viewer_url</v>
      </c>
      <c r="AC129" t="str">
        <f>HYPERLINK("https://images.diginfra.net/iiif/NL-HaNA_1.01.02/3811/NL-HaNA_1.01.02_3811_0348.jpg/276,1688,1100,1715/full/0/default.jpg", "next_meeting_iiif_url")</f>
        <v>next_meeting_iiif_url</v>
      </c>
    </row>
    <row r="130" spans="1:29" x14ac:dyDescent="0.2">
      <c r="A130" t="s">
        <v>597</v>
      </c>
      <c r="B130" t="s">
        <v>85</v>
      </c>
      <c r="C130" t="s">
        <v>598</v>
      </c>
      <c r="D130" t="b">
        <v>1</v>
      </c>
      <c r="E130" t="b">
        <v>1</v>
      </c>
      <c r="F130">
        <v>1</v>
      </c>
      <c r="I130" t="s">
        <v>599</v>
      </c>
      <c r="J130">
        <v>3844</v>
      </c>
      <c r="K130">
        <v>403</v>
      </c>
      <c r="L130">
        <v>384</v>
      </c>
      <c r="M130">
        <v>348</v>
      </c>
      <c r="N130">
        <f t="shared" ref="N130:N193" si="4">K130*2</f>
        <v>806</v>
      </c>
      <c r="O130">
        <v>804</v>
      </c>
      <c r="P130">
        <v>0</v>
      </c>
      <c r="Q130">
        <v>0</v>
      </c>
      <c r="R130">
        <v>0</v>
      </c>
      <c r="S130" t="s">
        <v>33</v>
      </c>
      <c r="T130" t="str">
        <f>HYPERLINK("https://images.diginfra.net/framed3.html?imagesetuuid=61690246-944a-4d63-9d72-95ab6a0a9306&amp;uri=https://images.diginfra.net/iiif/NL-HaNA_1.01.02/3844/NL-HaNA_1.01.02_3844_0403.jpg", "viewer_url")</f>
        <v>viewer_url</v>
      </c>
      <c r="U130" t="str">
        <f>HYPERLINK("https://images.diginfra.net/iiif/NL-HaNA_1.01.02/3844/NL-HaNA_1.01.02_3844_0403.jpg/384,348,1096,3140/full/0/default.jpg", "iiif_url")</f>
        <v>iiif_url</v>
      </c>
      <c r="V130" t="s">
        <v>33</v>
      </c>
      <c r="W130" t="s">
        <v>600</v>
      </c>
      <c r="X130" t="str">
        <f>HYPERLINK("https://images.diginfra.net/framed3.html?imagesetuuid=61690246-944a-4d63-9d72-95ab6a0a9306&amp;uri=https://images.diginfra.net/iiif/NL-HaNA_1.01.02/3844/NL-HaNA_1.01.02_3844_0399.jpg", "prev_meeting_viewer_url")</f>
        <v>prev_meeting_viewer_url</v>
      </c>
      <c r="Y130" t="str">
        <f>HYPERLINK("https://images.diginfra.net/iiif/NL-HaNA_1.01.02/3844/NL-HaNA_1.01.02_3844_0399.jpg/1375,1973,1042,1325/full/0/default.jpg", "prev_meeting_iiif_url")</f>
        <v>prev_meeting_iiif_url</v>
      </c>
      <c r="Z130" t="s">
        <v>33</v>
      </c>
      <c r="AB130" t="str">
        <f>HYPERLINK("https://images.diginfra.net/framed3.html?imagesetuuid=61690246-944a-4d63-9d72-95ab6a0a9306&amp;uri=https://images.diginfra.net/iiif/NL-HaNA_1.01.02/3844/NL-HaNA_1.01.02_3844_0404.jpg", "next_meeting_viewer_url")</f>
        <v>next_meeting_viewer_url</v>
      </c>
      <c r="AC130" t="str">
        <f>HYPERLINK("https://images.diginfra.net/iiif/NL-HaNA_1.01.02/3844/NL-HaNA_1.01.02_3844_0404.jpg/1328,370,1082,3047/full/0/default.jpg", "next_meeting_iiif_url")</f>
        <v>next_meeting_iiif_url</v>
      </c>
    </row>
    <row r="131" spans="1:29" x14ac:dyDescent="0.2">
      <c r="A131" t="s">
        <v>601</v>
      </c>
      <c r="B131" t="s">
        <v>48</v>
      </c>
      <c r="C131" t="s">
        <v>602</v>
      </c>
      <c r="D131" t="b">
        <v>1</v>
      </c>
      <c r="E131" t="b">
        <v>1</v>
      </c>
      <c r="F131">
        <v>1</v>
      </c>
      <c r="I131" t="s">
        <v>603</v>
      </c>
      <c r="J131">
        <v>3778</v>
      </c>
      <c r="K131">
        <v>435</v>
      </c>
      <c r="L131">
        <v>1266</v>
      </c>
      <c r="M131">
        <v>1910</v>
      </c>
      <c r="N131">
        <f t="shared" si="4"/>
        <v>870</v>
      </c>
      <c r="O131">
        <v>868</v>
      </c>
      <c r="P131">
        <v>1</v>
      </c>
      <c r="Q131">
        <v>1</v>
      </c>
      <c r="R131">
        <v>0</v>
      </c>
      <c r="S131" t="s">
        <v>33</v>
      </c>
      <c r="T131" t="str">
        <f>HYPERLINK("https://images.diginfra.net/framed3.html?imagesetuuid=c7562dfc-1537-4f53-946e-774c7935b363&amp;uri=https://images.diginfra.net/iiif/NL-HaNA_1.01.02/3778/NL-HaNA_1.01.02_3778_0435.jpg", "viewer_url")</f>
        <v>viewer_url</v>
      </c>
      <c r="U131" t="str">
        <f>HYPERLINK("https://images.diginfra.net/iiif/NL-HaNA_1.01.02/3778/NL-HaNA_1.01.02_3778_0435.jpg/1266,1910,1038,1433/full/0/default.jpg", "iiif_url")</f>
        <v>iiif_url</v>
      </c>
      <c r="V131" t="s">
        <v>33</v>
      </c>
      <c r="W131" t="s">
        <v>604</v>
      </c>
      <c r="X131" t="str">
        <f>HYPERLINK("https://images.diginfra.net/framed3.html?imagesetuuid=c7562dfc-1537-4f53-946e-774c7935b363&amp;uri=https://images.diginfra.net/iiif/NL-HaNA_1.01.02/3778/NL-HaNA_1.01.02_3778_0434.jpg", "prev_meeting_viewer_url")</f>
        <v>prev_meeting_viewer_url</v>
      </c>
      <c r="Y131" t="str">
        <f>HYPERLINK("https://images.diginfra.net/iiif/NL-HaNA_1.01.02/3778/NL-HaNA_1.01.02_3778_0434.jpg/3358,1269,1107,2093/full/0/default.jpg", "prev_meeting_iiif_url")</f>
        <v>prev_meeting_iiif_url</v>
      </c>
      <c r="Z131" t="s">
        <v>33</v>
      </c>
      <c r="AA131" t="s">
        <v>605</v>
      </c>
      <c r="AB131" t="str">
        <f>HYPERLINK("https://images.diginfra.net/framed3.html?imagesetuuid=c7562dfc-1537-4f53-946e-774c7935b363&amp;uri=https://images.diginfra.net/iiif/NL-HaNA_1.01.02/3778/NL-HaNA_1.01.02_3778_0438.jpg", "next_meeting_viewer_url")</f>
        <v>next_meeting_viewer_url</v>
      </c>
      <c r="AC131" t="str">
        <f>HYPERLINK("https://images.diginfra.net/iiif/NL-HaNA_1.01.02/3778/NL-HaNA_1.01.02_3778_0438.jpg/230,739,1086,2583/full/0/default.jpg", "next_meeting_iiif_url")</f>
        <v>next_meeting_iiif_url</v>
      </c>
    </row>
    <row r="132" spans="1:29" x14ac:dyDescent="0.2">
      <c r="A132" t="s">
        <v>606</v>
      </c>
      <c r="B132" t="s">
        <v>63</v>
      </c>
      <c r="D132" t="b">
        <v>0</v>
      </c>
      <c r="E132" t="b">
        <v>0</v>
      </c>
      <c r="F132">
        <v>0</v>
      </c>
      <c r="G132">
        <v>0</v>
      </c>
      <c r="H132" t="s">
        <v>342</v>
      </c>
      <c r="J132">
        <v>3777</v>
      </c>
      <c r="K132">
        <v>188</v>
      </c>
      <c r="N132">
        <f t="shared" si="4"/>
        <v>376</v>
      </c>
      <c r="O132">
        <v>374</v>
      </c>
      <c r="P132">
        <v>1</v>
      </c>
      <c r="T132" t="str">
        <f>HYPERLINK("None", "viewer_url")</f>
        <v>viewer_url</v>
      </c>
      <c r="U132" t="str">
        <f>HYPERLINK("None", "iiif_url")</f>
        <v>iiif_url</v>
      </c>
      <c r="V132" t="s">
        <v>44</v>
      </c>
      <c r="W132" t="s">
        <v>607</v>
      </c>
      <c r="X132" t="str">
        <f>HYPERLINK("https://images.diginfra.net/framed3.html?imagesetuuid=d79a5b0f-25ac-4440-9b23-adc237614d07&amp;uri=https://images.diginfra.net/iiif/NL-HaNA_1.01.02/3777/NL-HaNA_1.01.02_3777_0187.jpg", "prev_meeting_viewer_url")</f>
        <v>prev_meeting_viewer_url</v>
      </c>
      <c r="Y132" t="str">
        <f>HYPERLINK("https://images.diginfra.net/iiif/NL-HaNA_1.01.02/3777/NL-HaNA_1.01.02_3777_0187.jpg/493,2979,749,382/full/0/default.jpg", "prev_meeting_iiif_url")</f>
        <v>prev_meeting_iiif_url</v>
      </c>
    </row>
    <row r="133" spans="1:29" x14ac:dyDescent="0.2">
      <c r="A133" t="s">
        <v>608</v>
      </c>
      <c r="B133" t="s">
        <v>37</v>
      </c>
      <c r="C133" t="s">
        <v>609</v>
      </c>
      <c r="D133" t="b">
        <v>1</v>
      </c>
      <c r="E133" t="b">
        <v>1</v>
      </c>
      <c r="F133">
        <v>1</v>
      </c>
      <c r="I133" t="s">
        <v>610</v>
      </c>
      <c r="J133">
        <v>3842</v>
      </c>
      <c r="K133">
        <v>346</v>
      </c>
      <c r="L133">
        <v>3227</v>
      </c>
      <c r="M133">
        <v>510</v>
      </c>
      <c r="N133">
        <f t="shared" si="4"/>
        <v>692</v>
      </c>
      <c r="O133">
        <v>691</v>
      </c>
      <c r="P133">
        <v>1</v>
      </c>
      <c r="Q133">
        <v>1</v>
      </c>
      <c r="R133">
        <v>0</v>
      </c>
      <c r="S133" t="s">
        <v>33</v>
      </c>
      <c r="T133" t="str">
        <f>HYPERLINK("https://images.diginfra.net/framed3.html?imagesetuuid=70f1fd11-1c44-41eb-aebd-1f9cc88be8c8&amp;uri=https://images.diginfra.net/iiif/NL-HaNA_1.01.02/3842/NL-HaNA_1.01.02_3842_0346.jpg", "viewer_url")</f>
        <v>viewer_url</v>
      </c>
      <c r="U133" t="str">
        <f>HYPERLINK("https://images.diginfra.net/iiif/NL-HaNA_1.01.02/3842/NL-HaNA_1.01.02_3842_0346.jpg/3227,510,1085,2843/full/0/default.jpg", "iiif_url")</f>
        <v>iiif_url</v>
      </c>
      <c r="V133" t="s">
        <v>33</v>
      </c>
      <c r="W133" t="s">
        <v>611</v>
      </c>
      <c r="X133" t="str">
        <f>HYPERLINK("https://images.diginfra.net/framed3.html?imagesetuuid=70f1fd11-1c44-41eb-aebd-1f9cc88be8c8&amp;uri=https://images.diginfra.net/iiif/NL-HaNA_1.01.02/3842/NL-HaNA_1.01.02_3842_0342.jpg", "prev_meeting_viewer_url")</f>
        <v>prev_meeting_viewer_url</v>
      </c>
      <c r="Y133" t="str">
        <f>HYPERLINK("https://images.diginfra.net/iiif/NL-HaNA_1.01.02/3842/NL-HaNA_1.01.02_3842_0342.jpg/3262,2260,1027,1166/full/0/default.jpg", "prev_meeting_iiif_url")</f>
        <v>prev_meeting_iiif_url</v>
      </c>
      <c r="Z133" t="s">
        <v>33</v>
      </c>
      <c r="AA133" t="s">
        <v>612</v>
      </c>
      <c r="AB133" t="str">
        <f>HYPERLINK("https://images.diginfra.net/framed3.html?imagesetuuid=70f1fd11-1c44-41eb-aebd-1f9cc88be8c8&amp;uri=https://images.diginfra.net/iiif/NL-HaNA_1.01.02/3842/NL-HaNA_1.01.02_3842_0352.jpg", "next_meeting_viewer_url")</f>
        <v>next_meeting_viewer_url</v>
      </c>
      <c r="AC133" t="str">
        <f>HYPERLINK("https://images.diginfra.net/iiif/NL-HaNA_1.01.02/3842/NL-HaNA_1.01.02_3842_0352.jpg/2348,852,1063,2478/full/0/default.jpg", "next_meeting_iiif_url")</f>
        <v>next_meeting_iiif_url</v>
      </c>
    </row>
    <row r="134" spans="1:29" x14ac:dyDescent="0.2">
      <c r="A134" t="s">
        <v>613</v>
      </c>
      <c r="B134" t="s">
        <v>63</v>
      </c>
      <c r="D134" t="b">
        <v>0</v>
      </c>
      <c r="E134" t="b">
        <v>0</v>
      </c>
      <c r="F134">
        <v>1</v>
      </c>
      <c r="I134" t="s">
        <v>614</v>
      </c>
      <c r="J134">
        <v>3840</v>
      </c>
      <c r="K134">
        <v>231</v>
      </c>
      <c r="N134">
        <f t="shared" si="4"/>
        <v>462</v>
      </c>
      <c r="O134">
        <v>460</v>
      </c>
      <c r="P134">
        <v>2</v>
      </c>
      <c r="Q134">
        <v>2</v>
      </c>
      <c r="R134">
        <v>0</v>
      </c>
      <c r="T134" t="str">
        <f>HYPERLINK("None", "viewer_url")</f>
        <v>viewer_url</v>
      </c>
      <c r="U134" t="str">
        <f>HYPERLINK("None", "iiif_url")</f>
        <v>iiif_url</v>
      </c>
      <c r="V134" t="s">
        <v>33</v>
      </c>
      <c r="W134" t="s">
        <v>615</v>
      </c>
      <c r="X134" t="str">
        <f>HYPERLINK("https://images.diginfra.net/framed3.html?imagesetuuid=139f8e53-59b0-4363-bde8-a631a3d6702a&amp;uri=https://images.diginfra.net/iiif/NL-HaNA_1.01.02/3840/NL-HaNA_1.01.02_3840_0231.jpg", "prev_meeting_viewer_url")</f>
        <v>prev_meeting_viewer_url</v>
      </c>
      <c r="Y134" t="str">
        <f>HYPERLINK("https://images.diginfra.net/iiif/NL-HaNA_1.01.02/3840/NL-HaNA_1.01.02_3840_0231.jpg/235,304,1077,3133/full/0/default.jpg", "prev_meeting_iiif_url")</f>
        <v>prev_meeting_iiif_url</v>
      </c>
      <c r="Z134" t="s">
        <v>33</v>
      </c>
      <c r="AA134" t="s">
        <v>616</v>
      </c>
      <c r="AB134" t="str">
        <f>HYPERLINK("https://images.diginfra.net/framed3.html?imagesetuuid=139f8e53-59b0-4363-bde8-a631a3d6702a&amp;uri=https://images.diginfra.net/iiif/NL-HaNA_1.01.02/3840/NL-HaNA_1.01.02_3840_0231.jpg", "next_meeting_viewer_url")</f>
        <v>next_meeting_viewer_url</v>
      </c>
      <c r="AC134" t="str">
        <f>HYPERLINK("https://images.diginfra.net/iiif/NL-HaNA_1.01.02/3840/NL-HaNA_1.01.02_3840_0231.jpg/1219,2106,1031,1271/full/0/default.jpg", "next_meeting_iiif_url")</f>
        <v>next_meeting_iiif_url</v>
      </c>
    </row>
    <row r="135" spans="1:29" x14ac:dyDescent="0.2">
      <c r="A135" t="s">
        <v>617</v>
      </c>
      <c r="B135" t="s">
        <v>59</v>
      </c>
      <c r="D135" t="b">
        <v>0</v>
      </c>
      <c r="E135" t="b">
        <v>0</v>
      </c>
      <c r="F135">
        <v>1</v>
      </c>
      <c r="G135">
        <v>1</v>
      </c>
      <c r="I135" t="s">
        <v>618</v>
      </c>
      <c r="J135">
        <v>3817</v>
      </c>
      <c r="K135">
        <v>420</v>
      </c>
      <c r="N135">
        <f t="shared" si="4"/>
        <v>840</v>
      </c>
      <c r="O135">
        <v>839</v>
      </c>
      <c r="P135">
        <v>0</v>
      </c>
      <c r="Q135">
        <v>2</v>
      </c>
      <c r="R135">
        <v>0</v>
      </c>
      <c r="S135" t="s">
        <v>33</v>
      </c>
      <c r="T135" t="str">
        <f>HYPERLINK("https://images.diginfra.net/framed3.html?imagesetuuid=c13c7ed6-75ba-4433-9b44-0db683995fb3&amp;uri=https://images.diginfra.net/iiif/NL-HaNA_1.01.02/3817/NL-HaNA_1.01.02_3817_0420.jpg", "viewer_url")</f>
        <v>viewer_url</v>
      </c>
      <c r="U135" t="str">
        <f>HYPERLINK("https://images.diginfra.net/iiif/NL-HaNA_1.01.02/3817/NL-HaNA_1.01.02_3817_0420.jpg/2348,1426,1094,2027/full/0/default.jpg", "iiif_url")</f>
        <v>iiif_url</v>
      </c>
      <c r="V135" t="s">
        <v>33</v>
      </c>
      <c r="W135" t="s">
        <v>619</v>
      </c>
      <c r="X135" t="str">
        <f>HYPERLINK("https://images.diginfra.net/framed3.html?imagesetuuid=c13c7ed6-75ba-4433-9b44-0db683995fb3&amp;uri=https://images.diginfra.net/iiif/NL-HaNA_1.01.02/3817/NL-HaNA_1.01.02_3817_0416.jpg", "prev_meeting_viewer_url")</f>
        <v>prev_meeting_viewer_url</v>
      </c>
      <c r="Y135" t="str">
        <f>HYPERLINK("https://images.diginfra.net/iiif/NL-HaNA_1.01.02/3817/NL-HaNA_1.01.02_3817_0416.jpg/2374,1129,1116,2269/full/0/default.jpg", "prev_meeting_iiif_url")</f>
        <v>prev_meeting_iiif_url</v>
      </c>
      <c r="Z135" t="s">
        <v>33</v>
      </c>
      <c r="AA135" t="s">
        <v>620</v>
      </c>
      <c r="AB135" t="str">
        <f>HYPERLINK("https://images.diginfra.net/framed3.html?imagesetuuid=c13c7ed6-75ba-4433-9b44-0db683995fb3&amp;uri=https://images.diginfra.net/iiif/NL-HaNA_1.01.02/3817/NL-HaNA_1.01.02_3817_0420.jpg", "next_meeting_viewer_url")</f>
        <v>next_meeting_viewer_url</v>
      </c>
      <c r="AC135" t="str">
        <f>HYPERLINK("https://images.diginfra.net/iiif/NL-HaNA_1.01.02/3817/NL-HaNA_1.01.02_3817_0420.jpg/2348,1426,1094,2027/full/0/default.jpg", "next_meeting_iiif_url")</f>
        <v>next_meeting_iiif_url</v>
      </c>
    </row>
    <row r="136" spans="1:29" x14ac:dyDescent="0.2">
      <c r="A136" t="s">
        <v>621</v>
      </c>
      <c r="B136" t="s">
        <v>59</v>
      </c>
      <c r="D136" t="b">
        <v>1</v>
      </c>
      <c r="E136" t="b">
        <v>1</v>
      </c>
      <c r="F136">
        <v>1</v>
      </c>
      <c r="H136" t="s">
        <v>43</v>
      </c>
      <c r="J136">
        <v>3792</v>
      </c>
      <c r="K136">
        <v>305</v>
      </c>
      <c r="L136">
        <v>1340</v>
      </c>
      <c r="M136">
        <v>3062</v>
      </c>
      <c r="N136">
        <f t="shared" si="4"/>
        <v>610</v>
      </c>
      <c r="O136">
        <v>608</v>
      </c>
      <c r="P136">
        <v>1</v>
      </c>
      <c r="T136" t="str">
        <f>HYPERLINK("None", "viewer_url")</f>
        <v>viewer_url</v>
      </c>
      <c r="U136" t="str">
        <f>HYPERLINK("https://images.diginfra.net/iiif/NL-HaNA_1.01.02/3792/NL-HaNA_1.01.02_3792_0305.jpg/1340,3062,689,260/full/0/default.jpg", "iiif_url")</f>
        <v>iiif_url</v>
      </c>
      <c r="V136" t="s">
        <v>44</v>
      </c>
      <c r="W136" t="s">
        <v>622</v>
      </c>
      <c r="X136" t="str">
        <f>HYPERLINK("https://images.diginfra.net/framed3.html?imagesetuuid=507d79a4-2a42-4e84-afa5-a9ccb1e544fe&amp;uri=https://images.diginfra.net/iiif/NL-HaNA_1.01.02/3792/NL-HaNA_1.01.02_3792_0303.jpg", "prev_meeting_viewer_url")</f>
        <v>prev_meeting_viewer_url</v>
      </c>
      <c r="Y136" t="str">
        <f>HYPERLINK("https://images.diginfra.net/iiif/NL-HaNA_1.01.02/3792/NL-HaNA_1.01.02_3792_0303.jpg/1242,2722,1041,740/full/0/default.jpg", "prev_meeting_iiif_url")</f>
        <v>prev_meeting_iiif_url</v>
      </c>
      <c r="Z136" t="s">
        <v>33</v>
      </c>
      <c r="AA136" t="s">
        <v>623</v>
      </c>
      <c r="AB136" t="str">
        <f>HYPERLINK("https://images.diginfra.net/framed3.html?imagesetuuid=507d79a4-2a42-4e84-afa5-a9ccb1e544fe&amp;uri=https://images.diginfra.net/iiif/NL-HaNA_1.01.02/3792/NL-HaNA_1.01.02_3792_0306.jpg", "next_meeting_viewer_url")</f>
        <v>next_meeting_viewer_url</v>
      </c>
      <c r="AC136" t="str">
        <f>HYPERLINK("https://images.diginfra.net/iiif/NL-HaNA_1.01.02/3792/NL-HaNA_1.01.02_3792_0306.jpg/2598,2687,1039,772/full/0/default.jpg", "next_meeting_iiif_url")</f>
        <v>next_meeting_iiif_url</v>
      </c>
    </row>
    <row r="137" spans="1:29" x14ac:dyDescent="0.2">
      <c r="A137" t="s">
        <v>624</v>
      </c>
      <c r="B137" t="s">
        <v>37</v>
      </c>
      <c r="C137" t="s">
        <v>625</v>
      </c>
      <c r="D137" t="b">
        <v>1</v>
      </c>
      <c r="E137" t="b">
        <v>1</v>
      </c>
      <c r="F137">
        <v>1</v>
      </c>
      <c r="I137" t="s">
        <v>626</v>
      </c>
      <c r="J137">
        <v>3774</v>
      </c>
      <c r="K137">
        <v>202</v>
      </c>
      <c r="L137">
        <v>2398</v>
      </c>
      <c r="M137">
        <v>2161</v>
      </c>
      <c r="N137">
        <f t="shared" si="4"/>
        <v>404</v>
      </c>
      <c r="O137">
        <v>403</v>
      </c>
      <c r="P137">
        <v>0</v>
      </c>
      <c r="Q137">
        <v>1</v>
      </c>
      <c r="R137">
        <v>0</v>
      </c>
      <c r="S137" t="s">
        <v>33</v>
      </c>
      <c r="T137" t="str">
        <f>HYPERLINK("https://images.diginfra.net/framed3.html?imagesetuuid=a94d24a1-7932-4b81-a3e6-04161d471ec1&amp;uri=https://images.diginfra.net/iiif/NL-HaNA_1.01.02/3774/NL-HaNA_1.01.02_3774_0202.jpg", "viewer_url")</f>
        <v>viewer_url</v>
      </c>
      <c r="U137" t="str">
        <f>HYPERLINK("https://images.diginfra.net/iiif/NL-HaNA_1.01.02/3774/NL-HaNA_1.01.02_3774_0202.jpg/2398,2161,1027,1272/full/0/default.jpg", "iiif_url")</f>
        <v>iiif_url</v>
      </c>
      <c r="Z137" t="s">
        <v>33</v>
      </c>
      <c r="AA137" t="s">
        <v>627</v>
      </c>
      <c r="AB137" t="str">
        <f>HYPERLINK("https://images.diginfra.net/framed3.html?imagesetuuid=a94d24a1-7932-4b81-a3e6-04161d471ec1&amp;uri=https://images.diginfra.net/iiif/NL-HaNA_1.01.02/3774/NL-HaNA_1.01.02_3774_0203.jpg", "next_meeting_viewer_url")</f>
        <v>next_meeting_viewer_url</v>
      </c>
      <c r="AC137" t="str">
        <f>HYPERLINK("https://images.diginfra.net/iiif/NL-HaNA_1.01.02/3774/NL-HaNA_1.01.02_3774_0203.jpg/3347,313,1132,3146/full/0/default.jpg", "next_meeting_iiif_url")</f>
        <v>next_meeting_iiif_url</v>
      </c>
    </row>
    <row r="138" spans="1:29" x14ac:dyDescent="0.2">
      <c r="A138" t="s">
        <v>628</v>
      </c>
      <c r="B138" t="s">
        <v>30</v>
      </c>
      <c r="C138" t="s">
        <v>629</v>
      </c>
      <c r="D138" t="b">
        <v>1</v>
      </c>
      <c r="E138" t="b">
        <v>1</v>
      </c>
      <c r="F138">
        <v>1</v>
      </c>
      <c r="I138" t="s">
        <v>630</v>
      </c>
      <c r="J138">
        <v>3836</v>
      </c>
      <c r="K138">
        <v>251</v>
      </c>
      <c r="L138">
        <v>1157</v>
      </c>
      <c r="M138">
        <v>1040</v>
      </c>
      <c r="N138">
        <f t="shared" si="4"/>
        <v>502</v>
      </c>
      <c r="O138">
        <v>500</v>
      </c>
      <c r="P138">
        <v>1</v>
      </c>
      <c r="Q138">
        <v>1</v>
      </c>
      <c r="R138">
        <v>0</v>
      </c>
      <c r="S138" t="s">
        <v>33</v>
      </c>
      <c r="T138" t="str">
        <f>HYPERLINK("https://images.diginfra.net/framed3.html?imagesetuuid=4afc9a09-602a-4496-bef5-1ae8940042a8&amp;uri=https://images.diginfra.net/iiif/NL-HaNA_1.01.02/3836/NL-HaNA_1.01.02_3836_0251.jpg", "viewer_url")</f>
        <v>viewer_url</v>
      </c>
      <c r="U138" t="str">
        <f>HYPERLINK("https://images.diginfra.net/iiif/NL-HaNA_1.01.02/3836/NL-HaNA_1.01.02_3836_0251.jpg/1157,1040,1083,2356/full/0/default.jpg", "iiif_url")</f>
        <v>iiif_url</v>
      </c>
      <c r="V138" t="s">
        <v>33</v>
      </c>
      <c r="W138" t="s">
        <v>631</v>
      </c>
      <c r="X138" t="str">
        <f>HYPERLINK("https://images.diginfra.net/framed3.html?imagesetuuid=4afc9a09-602a-4496-bef5-1ae8940042a8&amp;uri=https://images.diginfra.net/iiif/NL-HaNA_1.01.02/3836/NL-HaNA_1.01.02_3836_0248.jpg", "prev_meeting_viewer_url")</f>
        <v>prev_meeting_viewer_url</v>
      </c>
      <c r="Y138" t="str">
        <f>HYPERLINK("https://images.diginfra.net/iiif/NL-HaNA_1.01.02/3836/NL-HaNA_1.01.02_3836_0248.jpg/1276,2957,846,313/full/0/default.jpg", "prev_meeting_iiif_url")</f>
        <v>prev_meeting_iiif_url</v>
      </c>
      <c r="Z138" t="s">
        <v>33</v>
      </c>
      <c r="AA138" t="s">
        <v>632</v>
      </c>
      <c r="AB138" t="str">
        <f>HYPERLINK("https://images.diginfra.net/framed3.html?imagesetuuid=4afc9a09-602a-4496-bef5-1ae8940042a8&amp;uri=https://images.diginfra.net/iiif/NL-HaNA_1.01.02/3836/NL-HaNA_1.01.02_3836_0256.jpg", "next_meeting_viewer_url")</f>
        <v>next_meeting_viewer_url</v>
      </c>
      <c r="AC138" t="str">
        <f>HYPERLINK("https://images.diginfra.net/iiif/NL-HaNA_1.01.02/3836/NL-HaNA_1.01.02_3836_0256.jpg/1172,1125,1101,2204/full/0/default.jpg", "next_meeting_iiif_url")</f>
        <v>next_meeting_iiif_url</v>
      </c>
    </row>
    <row r="139" spans="1:29" x14ac:dyDescent="0.2">
      <c r="A139" t="s">
        <v>633</v>
      </c>
      <c r="B139" t="s">
        <v>63</v>
      </c>
      <c r="D139" t="b">
        <v>0</v>
      </c>
      <c r="E139" t="b">
        <v>0</v>
      </c>
      <c r="F139">
        <v>1</v>
      </c>
      <c r="G139">
        <v>1</v>
      </c>
      <c r="I139" t="s">
        <v>634</v>
      </c>
      <c r="J139">
        <v>3804</v>
      </c>
      <c r="K139">
        <v>380</v>
      </c>
      <c r="N139">
        <f t="shared" si="4"/>
        <v>760</v>
      </c>
      <c r="O139">
        <v>758</v>
      </c>
      <c r="P139">
        <v>1</v>
      </c>
      <c r="Q139">
        <v>2</v>
      </c>
      <c r="R139">
        <v>0</v>
      </c>
      <c r="S139" t="s">
        <v>33</v>
      </c>
      <c r="T139" t="str">
        <f>HYPERLINK("https://images.diginfra.net/framed3.html?imagesetuuid=278358e3-85df-45df-a4c3-0043ae8e62fa&amp;uri=https://images.diginfra.net/iiif/NL-HaNA_1.01.02/3804/NL-HaNA_1.01.02_3804_0380.jpg", "viewer_url")</f>
        <v>viewer_url</v>
      </c>
      <c r="U139" t="str">
        <f>HYPERLINK("https://images.diginfra.net/iiif/NL-HaNA_1.01.02/3804/NL-HaNA_1.01.02_3804_0380.jpg/1234,2358,1063,982/full/0/default.jpg", "iiif_url")</f>
        <v>iiif_url</v>
      </c>
      <c r="V139" t="s">
        <v>33</v>
      </c>
      <c r="W139" t="s">
        <v>635</v>
      </c>
      <c r="X139" t="str">
        <f>HYPERLINK("https://images.diginfra.net/framed3.html?imagesetuuid=278358e3-85df-45df-a4c3-0043ae8e62fa&amp;uri=https://images.diginfra.net/iiif/NL-HaNA_1.01.02/3804/NL-HaNA_1.01.02_3804_0379.jpg", "prev_meeting_viewer_url")</f>
        <v>prev_meeting_viewer_url</v>
      </c>
      <c r="Y139" t="str">
        <f>HYPERLINK("https://images.diginfra.net/iiif/NL-HaNA_1.01.02/3804/NL-HaNA_1.01.02_3804_0379.jpg/2428,2586,1054,745/full/0/default.jpg", "prev_meeting_iiif_url")</f>
        <v>prev_meeting_iiif_url</v>
      </c>
      <c r="Z139" t="s">
        <v>33</v>
      </c>
      <c r="AA139" t="s">
        <v>636</v>
      </c>
      <c r="AB139" t="str">
        <f>HYPERLINK("https://images.diginfra.net/framed3.html?imagesetuuid=278358e3-85df-45df-a4c3-0043ae8e62fa&amp;uri=https://images.diginfra.net/iiif/NL-HaNA_1.01.02/3804/NL-HaNA_1.01.02_3804_0380.jpg", "next_meeting_viewer_url")</f>
        <v>next_meeting_viewer_url</v>
      </c>
      <c r="AC139" t="str">
        <f>HYPERLINK("https://images.diginfra.net/iiif/NL-HaNA_1.01.02/3804/NL-HaNA_1.01.02_3804_0380.jpg/1234,2358,1063,982/full/0/default.jpg", "next_meeting_iiif_url")</f>
        <v>next_meeting_iiif_url</v>
      </c>
    </row>
    <row r="140" spans="1:29" x14ac:dyDescent="0.2">
      <c r="A140" t="s">
        <v>637</v>
      </c>
      <c r="B140" t="s">
        <v>85</v>
      </c>
      <c r="C140" t="s">
        <v>638</v>
      </c>
      <c r="D140" t="b">
        <v>1</v>
      </c>
      <c r="E140" t="b">
        <v>1</v>
      </c>
      <c r="F140">
        <v>1</v>
      </c>
      <c r="I140" t="s">
        <v>639</v>
      </c>
      <c r="J140">
        <v>3771</v>
      </c>
      <c r="K140">
        <v>566</v>
      </c>
      <c r="L140">
        <v>3533</v>
      </c>
      <c r="M140">
        <v>2329</v>
      </c>
      <c r="N140">
        <f t="shared" si="4"/>
        <v>1132</v>
      </c>
      <c r="O140">
        <v>1131</v>
      </c>
      <c r="P140">
        <v>1</v>
      </c>
      <c r="Q140">
        <v>1</v>
      </c>
      <c r="R140">
        <v>0</v>
      </c>
      <c r="S140" t="s">
        <v>33</v>
      </c>
      <c r="T140" t="str">
        <f>HYPERLINK("https://images.diginfra.net/framed3.html?imagesetuuid=16b7bf4c-5e05-4e5e-b109-cf178ead6c3f&amp;uri=https://images.diginfra.net/iiif/NL-HaNA_1.01.02/3771/NL-HaNA_1.01.02_3771_0566.jpg", "viewer_url")</f>
        <v>viewer_url</v>
      </c>
      <c r="U140" t="str">
        <f>HYPERLINK("https://images.diginfra.net/iiif/NL-HaNA_1.01.02/3771/NL-HaNA_1.01.02_3771_0566.jpg/3533,2329,1034,1096/full/0/default.jpg", "iiif_url")</f>
        <v>iiif_url</v>
      </c>
      <c r="V140" t="s">
        <v>33</v>
      </c>
      <c r="W140" t="s">
        <v>640</v>
      </c>
      <c r="X140" t="str">
        <f>HYPERLINK("https://images.diginfra.net/framed3.html?imagesetuuid=16b7bf4c-5e05-4e5e-b109-cf178ead6c3f&amp;uri=https://images.diginfra.net/iiif/NL-HaNA_1.01.02/3771/NL-HaNA_1.01.02_3771_0564.jpg", "prev_meeting_viewer_url")</f>
        <v>prev_meeting_viewer_url</v>
      </c>
      <c r="Y140" t="str">
        <f>HYPERLINK("https://images.diginfra.net/iiif/NL-HaNA_1.01.02/3771/NL-HaNA_1.01.02_3771_0564.jpg/3480,1282,1107,2141/full/0/default.jpg", "prev_meeting_iiif_url")</f>
        <v>prev_meeting_iiif_url</v>
      </c>
      <c r="Z140" t="s">
        <v>33</v>
      </c>
      <c r="AA140" t="s">
        <v>641</v>
      </c>
      <c r="AB140" t="str">
        <f>HYPERLINK("https://images.diginfra.net/framed3.html?imagesetuuid=16b7bf4c-5e05-4e5e-b109-cf178ead6c3f&amp;uri=https://images.diginfra.net/iiif/NL-HaNA_1.01.02/3771/NL-HaNA_1.01.02_3771_0569.jpg", "next_meeting_viewer_url")</f>
        <v>next_meeting_viewer_url</v>
      </c>
      <c r="AC140" t="str">
        <f>HYPERLINK("https://images.diginfra.net/iiif/NL-HaNA_1.01.02/3771/NL-HaNA_1.01.02_3771_0569.jpg/3434,1685,1093,1800/full/0/default.jpg", "next_meeting_iiif_url")</f>
        <v>next_meeting_iiif_url</v>
      </c>
    </row>
    <row r="141" spans="1:29" x14ac:dyDescent="0.2">
      <c r="A141" t="s">
        <v>642</v>
      </c>
      <c r="B141" t="s">
        <v>85</v>
      </c>
      <c r="C141" t="s">
        <v>638</v>
      </c>
      <c r="D141" t="b">
        <v>1</v>
      </c>
      <c r="E141" t="b">
        <v>1</v>
      </c>
      <c r="F141">
        <v>1</v>
      </c>
      <c r="I141" t="s">
        <v>643</v>
      </c>
      <c r="J141">
        <v>3766</v>
      </c>
      <c r="K141">
        <v>782</v>
      </c>
      <c r="L141">
        <v>1290</v>
      </c>
      <c r="M141">
        <v>1809</v>
      </c>
      <c r="N141">
        <f t="shared" si="4"/>
        <v>1564</v>
      </c>
      <c r="O141">
        <v>1562</v>
      </c>
      <c r="P141">
        <v>1</v>
      </c>
      <c r="Q141">
        <v>2</v>
      </c>
      <c r="R141">
        <v>0</v>
      </c>
      <c r="S141" t="s">
        <v>33</v>
      </c>
      <c r="T141" t="str">
        <f>HYPERLINK("https://images.diginfra.net/framed3.html?imagesetuuid=a6b973ba-587c-4902-9423-42544f6e97a0&amp;uri=https://images.diginfra.net/iiif/NL-HaNA_1.01.02/3766/NL-HaNA_1.01.02_3766_0782.jpg", "viewer_url")</f>
        <v>viewer_url</v>
      </c>
      <c r="U141" t="str">
        <f>HYPERLINK("https://images.diginfra.net/iiif/NL-HaNA_1.01.02/3766/NL-HaNA_1.01.02_3766_0782.jpg/1290,1809,1124,1626/full/0/default.jpg", "iiif_url")</f>
        <v>iiif_url</v>
      </c>
      <c r="V141" t="s">
        <v>33</v>
      </c>
      <c r="W141" t="s">
        <v>644</v>
      </c>
      <c r="X141" t="str">
        <f>HYPERLINK("https://images.diginfra.net/framed3.html?imagesetuuid=a6b973ba-587c-4902-9423-42544f6e97a0&amp;uri=https://images.diginfra.net/iiif/NL-HaNA_1.01.02/3766/NL-HaNA_1.01.02_3766_0779.jpg", "prev_meeting_viewer_url")</f>
        <v>prev_meeting_viewer_url</v>
      </c>
      <c r="Y141" t="str">
        <f>HYPERLINK("https://images.diginfra.net/iiif/NL-HaNA_1.01.02/3766/NL-HaNA_1.01.02_3766_0779.jpg/2590,2794,1048,612/full/0/default.jpg", "prev_meeting_iiif_url")</f>
        <v>prev_meeting_iiif_url</v>
      </c>
      <c r="Z141" t="s">
        <v>33</v>
      </c>
      <c r="AA141" t="s">
        <v>645</v>
      </c>
      <c r="AB141" t="str">
        <f>HYPERLINK("https://images.diginfra.net/framed3.html?imagesetuuid=a6b973ba-587c-4902-9423-42544f6e97a0&amp;uri=https://images.diginfra.net/iiif/NL-HaNA_1.01.02/3766/NL-HaNA_1.01.02_3766_0786.jpg", "next_meeting_viewer_url")</f>
        <v>next_meeting_viewer_url</v>
      </c>
      <c r="AC141" t="str">
        <f>HYPERLINK("https://images.diginfra.net/iiif/NL-HaNA_1.01.02/3766/NL-HaNA_1.01.02_3766_0786.jpg/3492,973,1106,2472/full/0/default.jpg", "next_meeting_iiif_url")</f>
        <v>next_meeting_iiif_url</v>
      </c>
    </row>
    <row r="142" spans="1:29" x14ac:dyDescent="0.2">
      <c r="A142" t="s">
        <v>646</v>
      </c>
      <c r="B142" t="s">
        <v>79</v>
      </c>
      <c r="C142" t="s">
        <v>647</v>
      </c>
      <c r="D142" t="b">
        <v>1</v>
      </c>
      <c r="E142" t="b">
        <v>1</v>
      </c>
      <c r="F142">
        <v>1</v>
      </c>
      <c r="I142" t="s">
        <v>648</v>
      </c>
      <c r="J142">
        <v>3794</v>
      </c>
      <c r="K142">
        <v>381</v>
      </c>
      <c r="L142">
        <v>3474</v>
      </c>
      <c r="M142">
        <v>2046</v>
      </c>
      <c r="N142">
        <f t="shared" si="4"/>
        <v>762</v>
      </c>
      <c r="O142">
        <v>761</v>
      </c>
      <c r="P142">
        <v>1</v>
      </c>
      <c r="Q142">
        <v>2</v>
      </c>
      <c r="R142">
        <v>0</v>
      </c>
      <c r="S142" t="s">
        <v>33</v>
      </c>
      <c r="T142" t="str">
        <f>HYPERLINK("https://images.diginfra.net/framed3.html?imagesetuuid=5debb5c6-ae39-480e-845e-6e10690f8984&amp;uri=https://images.diginfra.net/iiif/NL-HaNA_1.01.02/3794/NL-HaNA_1.01.02_3794_0381.jpg", "viewer_url")</f>
        <v>viewer_url</v>
      </c>
      <c r="U142" t="str">
        <f>HYPERLINK("https://images.diginfra.net/iiif/NL-HaNA_1.01.02/3794/NL-HaNA_1.01.02_3794_0381.jpg/3474,2046,1043,1309/full/0/default.jpg", "iiif_url")</f>
        <v>iiif_url</v>
      </c>
      <c r="V142" t="s">
        <v>33</v>
      </c>
      <c r="W142" t="s">
        <v>649</v>
      </c>
      <c r="X142" t="str">
        <f>HYPERLINK("https://images.diginfra.net/framed3.html?imagesetuuid=5debb5c6-ae39-480e-845e-6e10690f8984&amp;uri=https://images.diginfra.net/iiif/NL-HaNA_1.01.02/3794/NL-HaNA_1.01.02_3794_0381.jpg", "prev_meeting_viewer_url")</f>
        <v>prev_meeting_viewer_url</v>
      </c>
      <c r="Y142" t="str">
        <f>HYPERLINK("https://images.diginfra.net/iiif/NL-HaNA_1.01.02/3794/NL-HaNA_1.01.02_3794_0381.jpg/2490,1935,1084,1447/full/0/default.jpg", "prev_meeting_iiif_url")</f>
        <v>prev_meeting_iiif_url</v>
      </c>
      <c r="Z142" t="s">
        <v>33</v>
      </c>
      <c r="AA142" t="s">
        <v>650</v>
      </c>
      <c r="AB142" t="str">
        <f>HYPERLINK("https://images.diginfra.net/framed3.html?imagesetuuid=5debb5c6-ae39-480e-845e-6e10690f8984&amp;uri=https://images.diginfra.net/iiif/NL-HaNA_1.01.02/3794/NL-HaNA_1.01.02_3794_0382.jpg", "next_meeting_viewer_url")</f>
        <v>next_meeting_viewer_url</v>
      </c>
      <c r="AC142" t="str">
        <f>HYPERLINK("https://images.diginfra.net/iiif/NL-HaNA_1.01.02/3794/NL-HaNA_1.01.02_3794_0382.jpg/3422,1090,1099,2348/full/0/default.jpg", "next_meeting_iiif_url")</f>
        <v>next_meeting_iiif_url</v>
      </c>
    </row>
    <row r="143" spans="1:29" x14ac:dyDescent="0.2">
      <c r="A143" t="s">
        <v>651</v>
      </c>
      <c r="B143" t="s">
        <v>59</v>
      </c>
      <c r="D143" t="b">
        <v>0</v>
      </c>
      <c r="E143" t="b">
        <v>0</v>
      </c>
      <c r="F143">
        <v>1</v>
      </c>
      <c r="G143">
        <v>1</v>
      </c>
      <c r="I143" t="s">
        <v>652</v>
      </c>
      <c r="J143">
        <v>3834</v>
      </c>
      <c r="K143">
        <v>231</v>
      </c>
      <c r="N143">
        <f t="shared" si="4"/>
        <v>462</v>
      </c>
      <c r="O143">
        <v>461</v>
      </c>
      <c r="P143">
        <v>0</v>
      </c>
      <c r="Q143">
        <v>0</v>
      </c>
      <c r="R143">
        <v>43</v>
      </c>
      <c r="S143" t="s">
        <v>33</v>
      </c>
      <c r="T143" t="str">
        <f>HYPERLINK("https://images.diginfra.net/framed3.html?imagesetuuid=bf11cd8e-e3f4-444c-9caa-dcdfd20137d7&amp;uri=https://images.diginfra.net/iiif/NL-HaNA_1.01.02/3834/NL-HaNA_1.01.02_3834_0231.jpg", "viewer_url")</f>
        <v>viewer_url</v>
      </c>
      <c r="U143" t="str">
        <f>HYPERLINK("https://images.diginfra.net/iiif/NL-HaNA_1.01.02/3834/NL-HaNA_1.01.02_3834_0231.jpg/2472,2027,1087,1351/full/0/default.jpg", "iiif_url")</f>
        <v>iiif_url</v>
      </c>
      <c r="V143" t="s">
        <v>33</v>
      </c>
      <c r="W143" t="s">
        <v>653</v>
      </c>
      <c r="X143" t="str">
        <f>HYPERLINK("https://images.diginfra.net/framed3.html?imagesetuuid=bf11cd8e-e3f4-444c-9caa-dcdfd20137d7&amp;uri=https://images.diginfra.net/iiif/NL-HaNA_1.01.02/3834/NL-HaNA_1.01.02_3834_0230.jpg", "prev_meeting_viewer_url")</f>
        <v>prev_meeting_viewer_url</v>
      </c>
      <c r="Y143" t="str">
        <f>HYPERLINK("https://images.diginfra.net/iiif/NL-HaNA_1.01.02/3834/NL-HaNA_1.01.02_3834_0230.jpg/2396,2032,1052,1330/full/0/default.jpg", "prev_meeting_iiif_url")</f>
        <v>prev_meeting_iiif_url</v>
      </c>
      <c r="Z143" t="s">
        <v>33</v>
      </c>
      <c r="AA143" t="s">
        <v>185</v>
      </c>
      <c r="AB143" t="str">
        <f>HYPERLINK("https://images.diginfra.net/framed3.html?imagesetuuid=bf11cd8e-e3f4-444c-9caa-dcdfd20137d7&amp;uri=https://images.diginfra.net/iiif/NL-HaNA_1.01.02/3834/NL-HaNA_1.01.02_3834_0231.jpg", "next_meeting_viewer_url")</f>
        <v>next_meeting_viewer_url</v>
      </c>
      <c r="AC143" t="str">
        <f>HYPERLINK("https://images.diginfra.net/iiif/NL-HaNA_1.01.02/3834/NL-HaNA_1.01.02_3834_0231.jpg/2472,2027,1087,1351/full/0/default.jpg", "next_meeting_iiif_url")</f>
        <v>next_meeting_iiif_url</v>
      </c>
    </row>
    <row r="144" spans="1:29" x14ac:dyDescent="0.2">
      <c r="A144" t="s">
        <v>654</v>
      </c>
      <c r="B144" t="s">
        <v>48</v>
      </c>
      <c r="C144" t="s">
        <v>655</v>
      </c>
      <c r="D144" t="b">
        <v>1</v>
      </c>
      <c r="E144" t="b">
        <v>1</v>
      </c>
      <c r="F144">
        <v>1</v>
      </c>
      <c r="I144" t="s">
        <v>656</v>
      </c>
      <c r="J144">
        <v>3818</v>
      </c>
      <c r="K144">
        <v>416</v>
      </c>
      <c r="L144">
        <v>2321</v>
      </c>
      <c r="M144">
        <v>1494</v>
      </c>
      <c r="N144">
        <f t="shared" si="4"/>
        <v>832</v>
      </c>
      <c r="O144">
        <v>831</v>
      </c>
      <c r="P144">
        <v>0</v>
      </c>
      <c r="Q144">
        <v>1</v>
      </c>
      <c r="R144">
        <v>0</v>
      </c>
      <c r="S144" t="s">
        <v>33</v>
      </c>
      <c r="T144" t="str">
        <f>HYPERLINK("https://images.diginfra.net/framed3.html?imagesetuuid=0a2b2b00-4d8f-4694-bcd4-866d49afa989&amp;uri=https://images.diginfra.net/iiif/NL-HaNA_1.01.02/3818/NL-HaNA_1.01.02_3818_0416.jpg", "viewer_url")</f>
        <v>viewer_url</v>
      </c>
      <c r="U144" t="str">
        <f>HYPERLINK("https://images.diginfra.net/iiif/NL-HaNA_1.01.02/3818/NL-HaNA_1.01.02_3818_0416.jpg/2321,1494,1112,1896/full/0/default.jpg", "iiif_url")</f>
        <v>iiif_url</v>
      </c>
      <c r="V144" t="s">
        <v>33</v>
      </c>
      <c r="W144" t="s">
        <v>657</v>
      </c>
      <c r="X144" t="str">
        <f>HYPERLINK("https://images.diginfra.net/framed3.html?imagesetuuid=0a2b2b00-4d8f-4694-bcd4-866d49afa989&amp;uri=https://images.diginfra.net/iiif/NL-HaNA_1.01.02/3818/NL-HaNA_1.01.02_3818_0416.jpg", "prev_meeting_viewer_url")</f>
        <v>prev_meeting_viewer_url</v>
      </c>
      <c r="Y144" t="str">
        <f>HYPERLINK("https://images.diginfra.net/iiif/NL-HaNA_1.01.02/3818/NL-HaNA_1.01.02_3818_0416.jpg/236,666,1106,2710/full/0/default.jpg", "prev_meeting_iiif_url")</f>
        <v>prev_meeting_iiif_url</v>
      </c>
      <c r="Z144" t="s">
        <v>33</v>
      </c>
      <c r="AA144" t="s">
        <v>658</v>
      </c>
      <c r="AB144" t="str">
        <f>HYPERLINK("https://images.diginfra.net/framed3.html?imagesetuuid=0a2b2b00-4d8f-4694-bcd4-866d49afa989&amp;uri=https://images.diginfra.net/iiif/NL-HaNA_1.01.02/3818/NL-HaNA_1.01.02_3818_0418.jpg", "next_meeting_viewer_url")</f>
        <v>next_meeting_viewer_url</v>
      </c>
      <c r="AC144" t="str">
        <f>HYPERLINK("https://images.diginfra.net/iiif/NL-HaNA_1.01.02/3818/NL-HaNA_1.01.02_3818_0418.jpg/245,1909,1109,1439/full/0/default.jpg", "next_meeting_iiif_url")</f>
        <v>next_meeting_iiif_url</v>
      </c>
    </row>
    <row r="145" spans="1:29" x14ac:dyDescent="0.2">
      <c r="A145" t="s">
        <v>659</v>
      </c>
      <c r="B145" t="s">
        <v>85</v>
      </c>
      <c r="C145" t="s">
        <v>660</v>
      </c>
      <c r="D145" t="b">
        <v>1</v>
      </c>
      <c r="E145" t="b">
        <v>1</v>
      </c>
      <c r="F145">
        <v>1</v>
      </c>
      <c r="I145" t="s">
        <v>661</v>
      </c>
      <c r="J145">
        <v>3831</v>
      </c>
      <c r="K145">
        <v>372</v>
      </c>
      <c r="L145">
        <v>2361</v>
      </c>
      <c r="M145">
        <v>255</v>
      </c>
      <c r="N145">
        <f t="shared" si="4"/>
        <v>744</v>
      </c>
      <c r="O145">
        <v>743</v>
      </c>
      <c r="P145">
        <v>0</v>
      </c>
      <c r="Q145">
        <v>0</v>
      </c>
      <c r="R145">
        <v>0</v>
      </c>
      <c r="S145" t="s">
        <v>33</v>
      </c>
      <c r="T145" t="str">
        <f>HYPERLINK("https://images.diginfra.net/framed3.html?imagesetuuid=fbccadee-0831-4262-9b53-6f48467f765a&amp;uri=https://images.diginfra.net/iiif/NL-HaNA_1.01.02/3831/NL-HaNA_1.01.02_3831_0372.jpg", "viewer_url")</f>
        <v>viewer_url</v>
      </c>
      <c r="U145" t="str">
        <f>HYPERLINK("https://images.diginfra.net/iiif/NL-HaNA_1.01.02/3831/NL-HaNA_1.01.02_3831_0372.jpg/2361,255,1076,2359/full/0/default.jpg", "iiif_url")</f>
        <v>iiif_url</v>
      </c>
      <c r="V145" t="s">
        <v>33</v>
      </c>
      <c r="W145" t="s">
        <v>662</v>
      </c>
      <c r="X145" t="str">
        <f>HYPERLINK("https://images.diginfra.net/framed3.html?imagesetuuid=fbccadee-0831-4262-9b53-6f48467f765a&amp;uri=https://images.diginfra.net/iiif/NL-HaNA_1.01.02/3831/NL-HaNA_1.01.02_3831_0371.jpg", "prev_meeting_viewer_url")</f>
        <v>prev_meeting_viewer_url</v>
      </c>
      <c r="Y145" t="str">
        <f>HYPERLINK("https://images.diginfra.net/iiif/NL-HaNA_1.01.02/3831/NL-HaNA_1.01.02_3831_0371.jpg/2380,1310,1070,2057/full/0/default.jpg", "prev_meeting_iiif_url")</f>
        <v>prev_meeting_iiif_url</v>
      </c>
      <c r="Z145" t="s">
        <v>33</v>
      </c>
      <c r="AA145" t="s">
        <v>663</v>
      </c>
      <c r="AB145" t="str">
        <f>HYPERLINK("https://images.diginfra.net/framed3.html?imagesetuuid=fbccadee-0831-4262-9b53-6f48467f765a&amp;uri=https://images.diginfra.net/iiif/NL-HaNA_1.01.02/3831/NL-HaNA_1.01.02_3831_0372.jpg", "next_meeting_viewer_url")</f>
        <v>next_meeting_viewer_url</v>
      </c>
      <c r="AC145" t="str">
        <f>HYPERLINK("https://images.diginfra.net/iiif/NL-HaNA_1.01.02/3831/NL-HaNA_1.01.02_3831_0372.jpg/2372,2447,1058,888/full/0/default.jpg", "next_meeting_iiif_url")</f>
        <v>next_meeting_iiif_url</v>
      </c>
    </row>
    <row r="146" spans="1:29" x14ac:dyDescent="0.2">
      <c r="A146" t="s">
        <v>664</v>
      </c>
      <c r="B146" t="s">
        <v>79</v>
      </c>
      <c r="C146" t="s">
        <v>665</v>
      </c>
      <c r="D146" t="b">
        <v>1</v>
      </c>
      <c r="E146" t="b">
        <v>1</v>
      </c>
      <c r="F146">
        <v>1</v>
      </c>
      <c r="I146" t="s">
        <v>666</v>
      </c>
      <c r="J146">
        <v>3775</v>
      </c>
      <c r="K146">
        <v>327</v>
      </c>
      <c r="L146">
        <v>318</v>
      </c>
      <c r="M146">
        <v>2332</v>
      </c>
      <c r="N146">
        <f t="shared" si="4"/>
        <v>654</v>
      </c>
      <c r="O146">
        <v>652</v>
      </c>
      <c r="P146">
        <v>0</v>
      </c>
      <c r="Q146">
        <v>3</v>
      </c>
      <c r="R146">
        <v>0</v>
      </c>
      <c r="S146" t="s">
        <v>33</v>
      </c>
      <c r="T146" t="str">
        <f>HYPERLINK("https://images.diginfra.net/framed3.html?imagesetuuid=e344f420-8808-4cb9-bb8a-07944ccb8c18&amp;uri=https://images.diginfra.net/iiif/NL-HaNA_1.01.02/3775/NL-HaNA_1.01.02_3775_0327.jpg", "viewer_url")</f>
        <v>viewer_url</v>
      </c>
      <c r="U146" t="str">
        <f>HYPERLINK("https://images.diginfra.net/iiif/NL-HaNA_1.01.02/3775/NL-HaNA_1.01.02_3775_0327.jpg/318,2332,1023,998/full/0/default.jpg", "iiif_url")</f>
        <v>iiif_url</v>
      </c>
      <c r="V146" t="s">
        <v>33</v>
      </c>
      <c r="W146" t="s">
        <v>667</v>
      </c>
      <c r="X146" t="str">
        <f>HYPERLINK("https://images.diginfra.net/framed3.html?imagesetuuid=e344f420-8808-4cb9-bb8a-07944ccb8c18&amp;uri=https://images.diginfra.net/iiif/NL-HaNA_1.01.02/3775/NL-HaNA_1.01.02_3775_0324.jpg", "prev_meeting_viewer_url")</f>
        <v>prev_meeting_viewer_url</v>
      </c>
      <c r="Y146" t="str">
        <f>HYPERLINK("https://images.diginfra.net/iiif/NL-HaNA_1.01.02/3775/NL-HaNA_1.01.02_3775_0324.jpg/3126,1533,1091,1907/full/0/default.jpg", "prev_meeting_iiif_url")</f>
        <v>prev_meeting_iiif_url</v>
      </c>
      <c r="Z146" t="s">
        <v>33</v>
      </c>
      <c r="AA146" t="s">
        <v>668</v>
      </c>
      <c r="AB146" t="str">
        <f>HYPERLINK("https://images.diginfra.net/framed3.html?imagesetuuid=e344f420-8808-4cb9-bb8a-07944ccb8c18&amp;uri=https://images.diginfra.net/iiif/NL-HaNA_1.01.02/3775/NL-HaNA_1.01.02_3775_0327.jpg", "next_meeting_viewer_url")</f>
        <v>next_meeting_viewer_url</v>
      </c>
      <c r="AC146" t="str">
        <f>HYPERLINK("https://images.diginfra.net/iiif/NL-HaNA_1.01.02/3775/NL-HaNA_1.01.02_3775_0327.jpg/3197,2599,1044,812/full/0/default.jpg", "next_meeting_iiif_url")</f>
        <v>next_meeting_iiif_url</v>
      </c>
    </row>
    <row r="147" spans="1:29" x14ac:dyDescent="0.2">
      <c r="A147" t="s">
        <v>669</v>
      </c>
      <c r="B147" t="s">
        <v>59</v>
      </c>
      <c r="C147" t="s">
        <v>670</v>
      </c>
      <c r="D147" t="b">
        <v>1</v>
      </c>
      <c r="E147" t="b">
        <v>1</v>
      </c>
      <c r="F147">
        <v>1</v>
      </c>
      <c r="I147" t="s">
        <v>671</v>
      </c>
      <c r="J147">
        <v>3781</v>
      </c>
      <c r="K147">
        <v>84</v>
      </c>
      <c r="L147">
        <v>1343</v>
      </c>
      <c r="M147">
        <v>522</v>
      </c>
      <c r="N147">
        <f t="shared" si="4"/>
        <v>168</v>
      </c>
      <c r="O147">
        <v>166</v>
      </c>
      <c r="P147">
        <v>1</v>
      </c>
      <c r="Q147">
        <v>1</v>
      </c>
      <c r="R147">
        <v>0</v>
      </c>
      <c r="S147" t="s">
        <v>33</v>
      </c>
      <c r="T147" t="str">
        <f>HYPERLINK("https://images.diginfra.net/framed3.html?imagesetuuid=7806433b-7f26-4d4e-8e76-37d108a188de&amp;uri=https://images.diginfra.net/iiif/NL-HaNA_1.01.02/3781/NL-HaNA_1.01.02_3781_0084.jpg", "viewer_url")</f>
        <v>viewer_url</v>
      </c>
      <c r="U147" t="str">
        <f>HYPERLINK("https://images.diginfra.net/iiif/NL-HaNA_1.01.02/3781/NL-HaNA_1.01.02_3781_0084.jpg/1343,522,1106,2971/full/0/default.jpg", "iiif_url")</f>
        <v>iiif_url</v>
      </c>
      <c r="V147" t="s">
        <v>33</v>
      </c>
      <c r="W147" t="s">
        <v>672</v>
      </c>
      <c r="X147" t="str">
        <f>HYPERLINK("https://images.diginfra.net/framed3.html?imagesetuuid=7806433b-7f26-4d4e-8e76-37d108a188de&amp;uri=https://images.diginfra.net/iiif/NL-HaNA_1.01.02/3781/NL-HaNA_1.01.02_3781_0083.jpg", "prev_meeting_viewer_url")</f>
        <v>prev_meeting_viewer_url</v>
      </c>
      <c r="Y147" t="str">
        <f>HYPERLINK("https://images.diginfra.net/iiif/NL-HaNA_1.01.02/3781/NL-HaNA_1.01.02_3781_0083.jpg/1384,2533,1068,882/full/0/default.jpg", "prev_meeting_iiif_url")</f>
        <v>prev_meeting_iiif_url</v>
      </c>
      <c r="Z147" t="s">
        <v>33</v>
      </c>
      <c r="AA147" t="s">
        <v>673</v>
      </c>
      <c r="AB147" t="str">
        <f>HYPERLINK("https://images.diginfra.net/framed3.html?imagesetuuid=7806433b-7f26-4d4e-8e76-37d108a188de&amp;uri=https://images.diginfra.net/iiif/NL-HaNA_1.01.02/3781/NL-HaNA_1.01.02_3781_0085.jpg", "next_meeting_viewer_url")</f>
        <v>next_meeting_viewer_url</v>
      </c>
      <c r="AC147" t="str">
        <f>HYPERLINK("https://images.diginfra.net/iiif/NL-HaNA_1.01.02/3781/NL-HaNA_1.01.02_3781_0085.jpg/394,1073,1096,2451/full/0/default.jpg", "next_meeting_iiif_url")</f>
        <v>next_meeting_iiif_url</v>
      </c>
    </row>
    <row r="148" spans="1:29" x14ac:dyDescent="0.2">
      <c r="A148" t="s">
        <v>674</v>
      </c>
      <c r="B148" t="s">
        <v>30</v>
      </c>
      <c r="C148" t="s">
        <v>649</v>
      </c>
      <c r="D148" t="b">
        <v>1</v>
      </c>
      <c r="E148" t="b">
        <v>1</v>
      </c>
      <c r="F148">
        <v>1</v>
      </c>
      <c r="I148" t="s">
        <v>675</v>
      </c>
      <c r="J148">
        <v>3827</v>
      </c>
      <c r="K148">
        <v>468</v>
      </c>
      <c r="L148">
        <v>1219</v>
      </c>
      <c r="M148">
        <v>1175</v>
      </c>
      <c r="N148">
        <f t="shared" si="4"/>
        <v>936</v>
      </c>
      <c r="O148">
        <v>934</v>
      </c>
      <c r="P148">
        <v>1</v>
      </c>
      <c r="Q148">
        <v>1</v>
      </c>
      <c r="R148">
        <v>0</v>
      </c>
      <c r="S148" t="s">
        <v>33</v>
      </c>
      <c r="T148" t="str">
        <f>HYPERLINK("https://images.diginfra.net/framed3.html?imagesetuuid=cb4f4e9c-bdd8-4992-9de8-6ddd9348148f&amp;uri=https://images.diginfra.net/iiif/NL-HaNA_1.01.02/3827/NL-HaNA_1.01.02_3827_0468.jpg", "viewer_url")</f>
        <v>viewer_url</v>
      </c>
      <c r="U148" t="str">
        <f>HYPERLINK("https://images.diginfra.net/iiif/NL-HaNA_1.01.02/3827/NL-HaNA_1.01.02_3827_0468.jpg/1219,1175,1075,2110/full/0/default.jpg", "iiif_url")</f>
        <v>iiif_url</v>
      </c>
      <c r="V148" t="s">
        <v>33</v>
      </c>
      <c r="W148" t="s">
        <v>676</v>
      </c>
      <c r="X148" t="str">
        <f>HYPERLINK("https://images.diginfra.net/framed3.html?imagesetuuid=cb4f4e9c-bdd8-4992-9de8-6ddd9348148f&amp;uri=https://images.diginfra.net/iiif/NL-HaNA_1.01.02/3827/NL-HaNA_1.01.02_3827_0466.jpg", "prev_meeting_viewer_url")</f>
        <v>prev_meeting_viewer_url</v>
      </c>
      <c r="Y148" t="str">
        <f>HYPERLINK("https://images.diginfra.net/iiif/NL-HaNA_1.01.02/3827/NL-HaNA_1.01.02_3827_0466.jpg/2326,216,1086,3081/full/0/default.jpg", "prev_meeting_iiif_url")</f>
        <v>prev_meeting_iiif_url</v>
      </c>
      <c r="Z148" t="s">
        <v>33</v>
      </c>
      <c r="AA148" t="s">
        <v>647</v>
      </c>
      <c r="AB148" t="str">
        <f>HYPERLINK("https://images.diginfra.net/framed3.html?imagesetuuid=cb4f4e9c-bdd8-4992-9de8-6ddd9348148f&amp;uri=https://images.diginfra.net/iiif/NL-HaNA_1.01.02/3827/NL-HaNA_1.01.02_3827_0469.jpg", "next_meeting_viewer_url")</f>
        <v>next_meeting_viewer_url</v>
      </c>
      <c r="AC148" t="str">
        <f>HYPERLINK("https://images.diginfra.net/iiif/NL-HaNA_1.01.02/3827/NL-HaNA_1.01.02_3827_0469.jpg/1268,2801,1033,557/full/0/default.jpg", "next_meeting_iiif_url")</f>
        <v>next_meeting_iiif_url</v>
      </c>
    </row>
    <row r="149" spans="1:29" x14ac:dyDescent="0.2">
      <c r="A149" t="s">
        <v>677</v>
      </c>
      <c r="B149" t="s">
        <v>37</v>
      </c>
      <c r="C149" t="s">
        <v>678</v>
      </c>
      <c r="D149" t="b">
        <v>1</v>
      </c>
      <c r="E149" t="b">
        <v>1</v>
      </c>
      <c r="F149">
        <v>1</v>
      </c>
      <c r="I149" t="s">
        <v>679</v>
      </c>
      <c r="J149">
        <v>3844</v>
      </c>
      <c r="K149">
        <v>434</v>
      </c>
      <c r="L149">
        <v>1347</v>
      </c>
      <c r="M149">
        <v>2427</v>
      </c>
      <c r="N149">
        <f t="shared" si="4"/>
        <v>868</v>
      </c>
      <c r="O149">
        <v>866</v>
      </c>
      <c r="P149">
        <v>1</v>
      </c>
      <c r="Q149">
        <v>0</v>
      </c>
      <c r="R149">
        <v>48</v>
      </c>
      <c r="S149" t="s">
        <v>33</v>
      </c>
      <c r="T149" t="str">
        <f>HYPERLINK("https://images.diginfra.net/framed3.html?imagesetuuid=61690246-944a-4d63-9d72-95ab6a0a9306&amp;uri=https://images.diginfra.net/iiif/NL-HaNA_1.01.02/3844/NL-HaNA_1.01.02_3844_0434.jpg", "viewer_url")</f>
        <v>viewer_url</v>
      </c>
      <c r="U149" t="str">
        <f>HYPERLINK("https://images.diginfra.net/iiif/NL-HaNA_1.01.02/3844/NL-HaNA_1.01.02_3844_0434.jpg/1347,2427,1029,1064/full/0/default.jpg", "iiif_url")</f>
        <v>iiif_url</v>
      </c>
      <c r="Z149" t="s">
        <v>33</v>
      </c>
      <c r="AA149" t="s">
        <v>680</v>
      </c>
      <c r="AB149" t="str">
        <f>HYPERLINK("https://images.diginfra.net/framed3.html?imagesetuuid=61690246-944a-4d63-9d72-95ab6a0a9306&amp;uri=https://images.diginfra.net/iiif/NL-HaNA_1.01.02/3844/NL-HaNA_1.01.02_3844_0435.jpg", "next_meeting_viewer_url")</f>
        <v>next_meeting_viewer_url</v>
      </c>
      <c r="AC149" t="str">
        <f>HYPERLINK("https://images.diginfra.net/iiif/NL-HaNA_1.01.02/3844/NL-HaNA_1.01.02_3844_0435.jpg/3463,2320,1019,1030/full/0/default.jpg", "next_meeting_iiif_url")</f>
        <v>next_meeting_iiif_url</v>
      </c>
    </row>
    <row r="150" spans="1:29" x14ac:dyDescent="0.2">
      <c r="A150" t="s">
        <v>681</v>
      </c>
      <c r="B150" t="s">
        <v>59</v>
      </c>
      <c r="C150" t="s">
        <v>682</v>
      </c>
      <c r="D150" t="b">
        <v>1</v>
      </c>
      <c r="E150" t="b">
        <v>1</v>
      </c>
      <c r="F150">
        <v>1</v>
      </c>
      <c r="I150" t="s">
        <v>683</v>
      </c>
      <c r="J150">
        <v>3778</v>
      </c>
      <c r="K150">
        <v>54</v>
      </c>
      <c r="L150">
        <v>3394</v>
      </c>
      <c r="M150">
        <v>351</v>
      </c>
      <c r="N150">
        <f t="shared" si="4"/>
        <v>108</v>
      </c>
      <c r="O150">
        <v>107</v>
      </c>
      <c r="P150">
        <v>1</v>
      </c>
      <c r="Q150">
        <v>0</v>
      </c>
      <c r="R150">
        <v>0</v>
      </c>
      <c r="S150" t="s">
        <v>33</v>
      </c>
      <c r="T150" t="str">
        <f>HYPERLINK("https://images.diginfra.net/framed3.html?imagesetuuid=c7562dfc-1537-4f53-946e-774c7935b363&amp;uri=https://images.diginfra.net/iiif/NL-HaNA_1.01.02/3778/NL-HaNA_1.01.02_3778_0054.jpg", "viewer_url")</f>
        <v>viewer_url</v>
      </c>
      <c r="U150" t="str">
        <f>HYPERLINK("https://images.diginfra.net/iiif/NL-HaNA_1.01.02/3778/NL-HaNA_1.01.02_3778_0054.jpg/3394,351,1123,3085/full/0/default.jpg", "iiif_url")</f>
        <v>iiif_url</v>
      </c>
      <c r="V150" t="s">
        <v>33</v>
      </c>
      <c r="W150" t="s">
        <v>684</v>
      </c>
      <c r="X150" t="str">
        <f>HYPERLINK("https://images.diginfra.net/framed3.html?imagesetuuid=c7562dfc-1537-4f53-946e-774c7935b363&amp;uri=https://images.diginfra.net/iiif/NL-HaNA_1.01.02/3778/NL-HaNA_1.01.02_3778_0053.jpg", "prev_meeting_viewer_url")</f>
        <v>prev_meeting_viewer_url</v>
      </c>
      <c r="Y150" t="str">
        <f>HYPERLINK("https://images.diginfra.net/iiif/NL-HaNA_1.01.02/3778/NL-HaNA_1.01.02_3778_0053.jpg/1250,533,1113,2905/full/0/default.jpg", "prev_meeting_iiif_url")</f>
        <v>prev_meeting_iiif_url</v>
      </c>
      <c r="Z150" t="s">
        <v>33</v>
      </c>
      <c r="AA150" t="s">
        <v>685</v>
      </c>
      <c r="AB150" t="str">
        <f>HYPERLINK("https://images.diginfra.net/framed3.html?imagesetuuid=c7562dfc-1537-4f53-946e-774c7935b363&amp;uri=https://images.diginfra.net/iiif/NL-HaNA_1.01.02/3778/NL-HaNA_1.01.02_3778_0056.jpg", "next_meeting_viewer_url")</f>
        <v>next_meeting_viewer_url</v>
      </c>
      <c r="AC150" t="str">
        <f>HYPERLINK("https://images.diginfra.net/iiif/NL-HaNA_1.01.02/3778/NL-HaNA_1.01.02_3778_0056.jpg/1254,2580,1038,786/full/0/default.jpg", "next_meeting_iiif_url")</f>
        <v>next_meeting_iiif_url</v>
      </c>
    </row>
    <row r="151" spans="1:29" x14ac:dyDescent="0.2">
      <c r="A151" t="s">
        <v>686</v>
      </c>
      <c r="B151" t="s">
        <v>59</v>
      </c>
      <c r="D151" t="b">
        <v>1</v>
      </c>
      <c r="E151" t="b">
        <v>1</v>
      </c>
      <c r="F151">
        <v>1</v>
      </c>
      <c r="J151">
        <v>3764</v>
      </c>
      <c r="K151">
        <v>61</v>
      </c>
      <c r="L151">
        <v>3703</v>
      </c>
      <c r="M151">
        <v>2551</v>
      </c>
      <c r="N151">
        <f t="shared" si="4"/>
        <v>122</v>
      </c>
      <c r="T151" t="str">
        <f>HYPERLINK("None", "viewer_url")</f>
        <v>viewer_url</v>
      </c>
      <c r="U151" t="str">
        <f>HYPERLINK("https://images.diginfra.net/iiif/NL-HaNA_1.01.02/3764/NL-HaNA_1.01.02_3764_0061.jpg/3703,2551,870,711/full/0/default.jpg", "iiif_url")</f>
        <v>iiif_url</v>
      </c>
      <c r="V151" t="s">
        <v>44</v>
      </c>
      <c r="X151" t="str">
        <f>HYPERLINK("https://images.diginfra.net/framed3.html?imagesetuuid=111590de-8f08-498e-8bad-f6a289f87065&amp;uri=https://images.diginfra.net/iiif/NL-HaNA_1.01.02/3764/NL-HaNA_1.01.02_3764_0061.jpg", "prev_meeting_viewer_url")</f>
        <v>prev_meeting_viewer_url</v>
      </c>
      <c r="Y151" t="str">
        <f>HYPERLINK("https://images.diginfra.net/iiif/NL-HaNA_1.01.02/3764/NL-HaNA_1.01.02_3764_0061.jpg/3614,2511,1047,928/full/0/default.jpg", "prev_meeting_iiif_url")</f>
        <v>prev_meeting_iiif_url</v>
      </c>
      <c r="Z151" t="s">
        <v>33</v>
      </c>
      <c r="AA151" t="s">
        <v>687</v>
      </c>
      <c r="AB151" t="str">
        <f>HYPERLINK("https://images.diginfra.net/framed3.html?imagesetuuid=111590de-8f08-498e-8bad-f6a289f87065&amp;uri=https://images.diginfra.net/iiif/NL-HaNA_1.01.02/3764/NL-HaNA_1.01.02_3764_0064.jpg", "next_meeting_viewer_url")</f>
        <v>next_meeting_viewer_url</v>
      </c>
      <c r="AC151" t="str">
        <f>HYPERLINK("https://images.diginfra.net/iiif/NL-HaNA_1.01.02/3764/NL-HaNA_1.01.02_3764_0064.jpg/2586,455,1115,2983/full/0/default.jpg", "next_meeting_iiif_url")</f>
        <v>next_meeting_iiif_url</v>
      </c>
    </row>
    <row r="152" spans="1:29" x14ac:dyDescent="0.2">
      <c r="A152" t="s">
        <v>688</v>
      </c>
      <c r="B152" t="s">
        <v>79</v>
      </c>
      <c r="C152" t="s">
        <v>689</v>
      </c>
      <c r="D152" t="b">
        <v>1</v>
      </c>
      <c r="E152" t="b">
        <v>1</v>
      </c>
      <c r="F152">
        <v>1</v>
      </c>
      <c r="I152" t="s">
        <v>690</v>
      </c>
      <c r="J152">
        <v>3855</v>
      </c>
      <c r="K152">
        <v>204</v>
      </c>
      <c r="L152">
        <v>3282</v>
      </c>
      <c r="M152">
        <v>523</v>
      </c>
      <c r="N152">
        <f t="shared" si="4"/>
        <v>408</v>
      </c>
      <c r="O152">
        <v>407</v>
      </c>
      <c r="P152">
        <v>1</v>
      </c>
      <c r="Q152">
        <v>1</v>
      </c>
      <c r="R152">
        <v>0</v>
      </c>
      <c r="S152" t="s">
        <v>33</v>
      </c>
      <c r="T152" t="str">
        <f>HYPERLINK("https://images.diginfra.net/framed3.html?imagesetuuid=5244deb9-8f97-4a39-89ba-6da1d308b8f5&amp;uri=https://images.diginfra.net/iiif/NL-HaNA_1.01.02/3855/NL-HaNA_1.01.02_3855_0204.jpg", "viewer_url")</f>
        <v>viewer_url</v>
      </c>
      <c r="U152" t="str">
        <f>HYPERLINK("https://images.diginfra.net/iiif/NL-HaNA_1.01.02/3855/NL-HaNA_1.01.02_3855_0204.jpg/3282,523,1082,2877/full/0/default.jpg", "iiif_url")</f>
        <v>iiif_url</v>
      </c>
      <c r="V152" t="s">
        <v>33</v>
      </c>
      <c r="W152" t="s">
        <v>691</v>
      </c>
      <c r="X152" t="str">
        <f>HYPERLINK("https://images.diginfra.net/framed3.html?imagesetuuid=5244deb9-8f97-4a39-89ba-6da1d308b8f5&amp;uri=https://images.diginfra.net/iiif/NL-HaNA_1.01.02/3855/NL-HaNA_1.01.02_3855_0203.jpg", "prev_meeting_viewer_url")</f>
        <v>prev_meeting_viewer_url</v>
      </c>
      <c r="Y152" t="str">
        <f>HYPERLINK("https://images.diginfra.net/iiif/NL-HaNA_1.01.02/3855/NL-HaNA_1.01.02_3855_0203.jpg/2484,1913,1015,1416/full/0/default.jpg", "prev_meeting_iiif_url")</f>
        <v>prev_meeting_iiif_url</v>
      </c>
      <c r="Z152" t="s">
        <v>33</v>
      </c>
      <c r="AA152" t="s">
        <v>692</v>
      </c>
      <c r="AB152" t="str">
        <f>HYPERLINK("https://images.diginfra.net/framed3.html?imagesetuuid=5244deb9-8f97-4a39-89ba-6da1d308b8f5&amp;uri=https://images.diginfra.net/iiif/NL-HaNA_1.01.02/3855/NL-HaNA_1.01.02_3855_0206.jpg", "next_meeting_viewer_url")</f>
        <v>next_meeting_viewer_url</v>
      </c>
      <c r="AC152" t="str">
        <f>HYPERLINK("https://images.diginfra.net/iiif/NL-HaNA_1.01.02/3855/NL-HaNA_1.01.02_3855_0206.jpg/2396,947,1067,2444/full/0/default.jpg", "next_meeting_iiif_url")</f>
        <v>next_meeting_iiif_url</v>
      </c>
    </row>
    <row r="153" spans="1:29" x14ac:dyDescent="0.2">
      <c r="A153" t="s">
        <v>693</v>
      </c>
      <c r="B153" t="s">
        <v>48</v>
      </c>
      <c r="C153" t="s">
        <v>694</v>
      </c>
      <c r="D153" t="b">
        <v>1</v>
      </c>
      <c r="E153" t="b">
        <v>1</v>
      </c>
      <c r="F153">
        <v>1</v>
      </c>
      <c r="I153" t="s">
        <v>695</v>
      </c>
      <c r="J153">
        <v>3773</v>
      </c>
      <c r="K153">
        <v>498</v>
      </c>
      <c r="L153">
        <v>332</v>
      </c>
      <c r="M153">
        <v>2183</v>
      </c>
      <c r="N153">
        <f t="shared" si="4"/>
        <v>996</v>
      </c>
      <c r="O153">
        <v>994</v>
      </c>
      <c r="P153">
        <v>0</v>
      </c>
      <c r="Q153">
        <v>2</v>
      </c>
      <c r="R153">
        <v>0</v>
      </c>
      <c r="S153" t="s">
        <v>33</v>
      </c>
      <c r="T153" t="str">
        <f>HYPERLINK("https://images.diginfra.net/framed3.html?imagesetuuid=0d0ede5e-a7f6-4a03-b996-493e50528c24&amp;uri=https://images.diginfra.net/iiif/NL-HaNA_1.01.02/3773/NL-HaNA_1.01.02_3773_0498.jpg", "viewer_url")</f>
        <v>viewer_url</v>
      </c>
      <c r="U153" t="str">
        <f>HYPERLINK("https://images.diginfra.net/iiif/NL-HaNA_1.01.02/3773/NL-HaNA_1.01.02_3773_0498.jpg/332,2183,1036,1195/full/0/default.jpg", "iiif_url")</f>
        <v>iiif_url</v>
      </c>
      <c r="V153" t="s">
        <v>33</v>
      </c>
      <c r="W153" t="s">
        <v>696</v>
      </c>
      <c r="X153" t="str">
        <f>HYPERLINK("https://images.diginfra.net/framed3.html?imagesetuuid=0d0ede5e-a7f6-4a03-b996-493e50528c24&amp;uri=https://images.diginfra.net/iiif/NL-HaNA_1.01.02/3773/NL-HaNA_1.01.02_3773_0497.jpg", "prev_meeting_viewer_url")</f>
        <v>prev_meeting_viewer_url</v>
      </c>
      <c r="Y153" t="str">
        <f>HYPERLINK("https://images.diginfra.net/iiif/NL-HaNA_1.01.02/3773/NL-HaNA_1.01.02_3773_0497.jpg/194,1503,1089,1842/full/0/default.jpg", "prev_meeting_iiif_url")</f>
        <v>prev_meeting_iiif_url</v>
      </c>
      <c r="Z153" t="s">
        <v>33</v>
      </c>
      <c r="AA153" t="s">
        <v>697</v>
      </c>
      <c r="AB153" t="str">
        <f>HYPERLINK("https://images.diginfra.net/framed3.html?imagesetuuid=0d0ede5e-a7f6-4a03-b996-493e50528c24&amp;uri=https://images.diginfra.net/iiif/NL-HaNA_1.01.02/3773/NL-HaNA_1.01.02_3773_0503.jpg", "next_meeting_viewer_url")</f>
        <v>next_meeting_viewer_url</v>
      </c>
      <c r="AC153" t="str">
        <f>HYPERLINK("https://images.diginfra.net/iiif/NL-HaNA_1.01.02/3773/NL-HaNA_1.01.02_3773_0503.jpg/2367,1117,1095,2305/full/0/default.jpg", "next_meeting_iiif_url")</f>
        <v>next_meeting_iiif_url</v>
      </c>
    </row>
    <row r="154" spans="1:29" x14ac:dyDescent="0.2">
      <c r="A154" t="s">
        <v>698</v>
      </c>
      <c r="B154" t="s">
        <v>79</v>
      </c>
      <c r="C154" t="s">
        <v>699</v>
      </c>
      <c r="D154" t="b">
        <v>1</v>
      </c>
      <c r="E154" t="b">
        <v>1</v>
      </c>
      <c r="F154">
        <v>1</v>
      </c>
      <c r="I154" t="s">
        <v>700</v>
      </c>
      <c r="J154">
        <v>3767</v>
      </c>
      <c r="K154">
        <v>295</v>
      </c>
      <c r="L154">
        <v>3415</v>
      </c>
      <c r="M154">
        <v>2445</v>
      </c>
      <c r="N154">
        <f t="shared" si="4"/>
        <v>590</v>
      </c>
      <c r="O154">
        <v>589</v>
      </c>
      <c r="P154">
        <v>1</v>
      </c>
      <c r="Q154">
        <v>2</v>
      </c>
      <c r="R154">
        <v>0</v>
      </c>
      <c r="S154" t="s">
        <v>33</v>
      </c>
      <c r="T154" t="str">
        <f>HYPERLINK("https://images.diginfra.net/framed3.html?imagesetuuid=1dfc3e45-daeb-4e8d-b5c8-e02b6196102c&amp;uri=https://images.diginfra.net/iiif/NL-HaNA_1.01.02/3767/NL-HaNA_1.01.02_3767_0295.jpg", "viewer_url")</f>
        <v>viewer_url</v>
      </c>
      <c r="U154" t="str">
        <f>HYPERLINK("https://images.diginfra.net/iiif/NL-HaNA_1.01.02/3767/NL-HaNA_1.01.02_3767_0295.jpg/3415,2445,1055,927/full/0/default.jpg", "iiif_url")</f>
        <v>iiif_url</v>
      </c>
      <c r="V154" t="s">
        <v>33</v>
      </c>
      <c r="W154" t="s">
        <v>701</v>
      </c>
      <c r="X154" t="str">
        <f>HYPERLINK("https://images.diginfra.net/framed3.html?imagesetuuid=1dfc3e45-daeb-4e8d-b5c8-e02b6196102c&amp;uri=https://images.diginfra.net/iiif/NL-HaNA_1.01.02/3767/NL-HaNA_1.01.02_3767_0293.jpg", "prev_meeting_viewer_url")</f>
        <v>prev_meeting_viewer_url</v>
      </c>
      <c r="Y154" t="str">
        <f>HYPERLINK("https://images.diginfra.net/iiif/NL-HaNA_1.01.02/3767/NL-HaNA_1.01.02_3767_0293.jpg/1384,2316,1055,1028/full/0/default.jpg", "prev_meeting_iiif_url")</f>
        <v>prev_meeting_iiif_url</v>
      </c>
      <c r="Z154" t="s">
        <v>33</v>
      </c>
      <c r="AA154" t="s">
        <v>702</v>
      </c>
      <c r="AB154" t="str">
        <f>HYPERLINK("https://images.diginfra.net/framed3.html?imagesetuuid=1dfc3e45-daeb-4e8d-b5c8-e02b6196102c&amp;uri=https://images.diginfra.net/iiif/NL-HaNA_1.01.02/3767/NL-HaNA_1.01.02_3767_0297.jpg", "next_meeting_viewer_url")</f>
        <v>next_meeting_viewer_url</v>
      </c>
      <c r="AC154" t="str">
        <f>HYPERLINK("https://images.diginfra.net/iiif/NL-HaNA_1.01.02/3767/NL-HaNA_1.01.02_3767_0297.jpg/1244,2289,1074,1127/full/0/default.jpg", "next_meeting_iiif_url")</f>
        <v>next_meeting_iiif_url</v>
      </c>
    </row>
    <row r="155" spans="1:29" x14ac:dyDescent="0.2">
      <c r="A155" t="s">
        <v>703</v>
      </c>
      <c r="B155" t="s">
        <v>59</v>
      </c>
      <c r="C155" t="s">
        <v>704</v>
      </c>
      <c r="D155" t="b">
        <v>1</v>
      </c>
      <c r="E155" t="b">
        <v>1</v>
      </c>
      <c r="F155">
        <v>1</v>
      </c>
      <c r="I155" t="s">
        <v>705</v>
      </c>
      <c r="J155">
        <v>3778</v>
      </c>
      <c r="K155">
        <v>187</v>
      </c>
      <c r="L155">
        <v>3335</v>
      </c>
      <c r="M155">
        <v>272</v>
      </c>
      <c r="N155">
        <f t="shared" si="4"/>
        <v>374</v>
      </c>
      <c r="O155">
        <v>373</v>
      </c>
      <c r="P155">
        <v>1</v>
      </c>
      <c r="Q155">
        <v>0</v>
      </c>
      <c r="R155">
        <v>0</v>
      </c>
      <c r="S155" t="s">
        <v>33</v>
      </c>
      <c r="T155" t="str">
        <f>HYPERLINK("https://images.diginfra.net/framed3.html?imagesetuuid=c7562dfc-1537-4f53-946e-774c7935b363&amp;uri=https://images.diginfra.net/iiif/NL-HaNA_1.01.02/3778/NL-HaNA_1.01.02_3778_0187.jpg", "viewer_url")</f>
        <v>viewer_url</v>
      </c>
      <c r="U155" t="str">
        <f>HYPERLINK("https://images.diginfra.net/iiif/NL-HaNA_1.01.02/3778/NL-HaNA_1.01.02_3778_0187.jpg/3335,272,1108,3043/full/0/default.jpg", "iiif_url")</f>
        <v>iiif_url</v>
      </c>
      <c r="V155" t="s">
        <v>33</v>
      </c>
      <c r="W155" t="s">
        <v>706</v>
      </c>
      <c r="X155" t="str">
        <f>HYPERLINK("https://images.diginfra.net/framed3.html?imagesetuuid=c7562dfc-1537-4f53-946e-774c7935b363&amp;uri=https://images.diginfra.net/iiif/NL-HaNA_1.01.02/3778/NL-HaNA_1.01.02_3778_0186.jpg", "prev_meeting_viewer_url")</f>
        <v>prev_meeting_viewer_url</v>
      </c>
      <c r="Y155" t="str">
        <f>HYPERLINK("https://images.diginfra.net/iiif/NL-HaNA_1.01.02/3778/NL-HaNA_1.01.02_3778_0186.jpg/233,2390,1034,980/full/0/default.jpg", "prev_meeting_iiif_url")</f>
        <v>prev_meeting_iiif_url</v>
      </c>
      <c r="Z155" t="s">
        <v>33</v>
      </c>
      <c r="AA155" t="s">
        <v>707</v>
      </c>
      <c r="AB155" t="str">
        <f>HYPERLINK("https://images.diginfra.net/framed3.html?imagesetuuid=c7562dfc-1537-4f53-946e-774c7935b363&amp;uri=https://images.diginfra.net/iiif/NL-HaNA_1.01.02/3778/NL-HaNA_1.01.02_3778_0188.jpg", "next_meeting_viewer_url")</f>
        <v>next_meeting_viewer_url</v>
      </c>
      <c r="AC155" t="str">
        <f>HYPERLINK("https://images.diginfra.net/iiif/NL-HaNA_1.01.02/3778/NL-HaNA_1.01.02_3778_0188.jpg/2358,1016,1092,2374/full/0/default.jpg", "next_meeting_iiif_url")</f>
        <v>next_meeting_iiif_url</v>
      </c>
    </row>
    <row r="156" spans="1:29" x14ac:dyDescent="0.2">
      <c r="A156" t="s">
        <v>708</v>
      </c>
      <c r="B156" t="s">
        <v>30</v>
      </c>
      <c r="C156" t="s">
        <v>709</v>
      </c>
      <c r="D156" t="b">
        <v>1</v>
      </c>
      <c r="E156" t="b">
        <v>1</v>
      </c>
      <c r="F156">
        <v>1</v>
      </c>
      <c r="I156" t="s">
        <v>710</v>
      </c>
      <c r="J156">
        <v>3812</v>
      </c>
      <c r="K156">
        <v>431</v>
      </c>
      <c r="L156">
        <v>3254</v>
      </c>
      <c r="M156">
        <v>1563</v>
      </c>
      <c r="N156">
        <f t="shared" si="4"/>
        <v>862</v>
      </c>
      <c r="O156">
        <v>861</v>
      </c>
      <c r="P156">
        <v>1</v>
      </c>
      <c r="Q156">
        <v>1</v>
      </c>
      <c r="R156">
        <v>0</v>
      </c>
      <c r="S156" t="s">
        <v>33</v>
      </c>
      <c r="T156" t="str">
        <f>HYPERLINK("https://images.diginfra.net/framed3.html?imagesetuuid=2068053a-a1c4-40f9-a503-3778784a1420&amp;uri=https://images.diginfra.net/iiif/NL-HaNA_1.01.02/3812/NL-HaNA_1.01.02_3812_0431.jpg", "viewer_url")</f>
        <v>viewer_url</v>
      </c>
      <c r="U156" t="str">
        <f>HYPERLINK("https://images.diginfra.net/iiif/NL-HaNA_1.01.02/3812/NL-HaNA_1.01.02_3812_0431.jpg/3254,1563,1094,1806/full/0/default.jpg", "iiif_url")</f>
        <v>iiif_url</v>
      </c>
      <c r="V156" t="s">
        <v>33</v>
      </c>
      <c r="W156" t="s">
        <v>711</v>
      </c>
      <c r="X156" t="str">
        <f>HYPERLINK("https://images.diginfra.net/framed3.html?imagesetuuid=2068053a-a1c4-40f9-a503-3778784a1420&amp;uri=https://images.diginfra.net/iiif/NL-HaNA_1.01.02/3812/NL-HaNA_1.01.02_3812_0429.jpg", "prev_meeting_viewer_url")</f>
        <v>prev_meeting_viewer_url</v>
      </c>
      <c r="Y156" t="str">
        <f>HYPERLINK("https://images.diginfra.net/iiif/NL-HaNA_1.01.02/3812/NL-HaNA_1.01.02_3812_0429.jpg/3269,898,1096,2468/full/0/default.jpg", "prev_meeting_iiif_url")</f>
        <v>prev_meeting_iiif_url</v>
      </c>
      <c r="Z156" t="s">
        <v>33</v>
      </c>
      <c r="AA156" t="s">
        <v>712</v>
      </c>
      <c r="AB156" t="str">
        <f>HYPERLINK("https://images.diginfra.net/framed3.html?imagesetuuid=2068053a-a1c4-40f9-a503-3778784a1420&amp;uri=https://images.diginfra.net/iiif/NL-HaNA_1.01.02/3812/NL-HaNA_1.01.02_3812_0434.jpg", "next_meeting_viewer_url")</f>
        <v>next_meeting_viewer_url</v>
      </c>
      <c r="AC156" t="str">
        <f>HYPERLINK("https://images.diginfra.net/iiif/NL-HaNA_1.01.02/3812/NL-HaNA_1.01.02_3812_0434.jpg/1162,577,1092,2751/full/0/default.jpg", "next_meeting_iiif_url")</f>
        <v>next_meeting_iiif_url</v>
      </c>
    </row>
    <row r="157" spans="1:29" x14ac:dyDescent="0.2">
      <c r="A157" t="s">
        <v>713</v>
      </c>
      <c r="B157" t="s">
        <v>37</v>
      </c>
      <c r="C157" t="s">
        <v>714</v>
      </c>
      <c r="D157" t="b">
        <v>1</v>
      </c>
      <c r="E157" t="b">
        <v>1</v>
      </c>
      <c r="F157">
        <v>1</v>
      </c>
      <c r="I157" t="s">
        <v>715</v>
      </c>
      <c r="J157">
        <v>3802</v>
      </c>
      <c r="K157">
        <v>422</v>
      </c>
      <c r="L157">
        <v>277</v>
      </c>
      <c r="M157">
        <v>1585</v>
      </c>
      <c r="N157">
        <f t="shared" si="4"/>
        <v>844</v>
      </c>
      <c r="O157">
        <v>842</v>
      </c>
      <c r="P157">
        <v>0</v>
      </c>
      <c r="Q157">
        <v>2</v>
      </c>
      <c r="R157">
        <v>0</v>
      </c>
      <c r="S157" t="s">
        <v>33</v>
      </c>
      <c r="T157" t="str">
        <f>HYPERLINK("https://images.diginfra.net/framed3.html?imagesetuuid=42a0dd68-0122-4267-985e-43a657deae45&amp;uri=https://images.diginfra.net/iiif/NL-HaNA_1.01.02/3802/NL-HaNA_1.01.02_3802_0422.jpg", "viewer_url")</f>
        <v>viewer_url</v>
      </c>
      <c r="U157" t="str">
        <f>HYPERLINK("https://images.diginfra.net/iiif/NL-HaNA_1.01.02/3802/NL-HaNA_1.01.02_3802_0422.jpg/277,1585,1079,1802/full/0/default.jpg", "iiif_url")</f>
        <v>iiif_url</v>
      </c>
      <c r="V157" t="s">
        <v>33</v>
      </c>
      <c r="W157" t="s">
        <v>716</v>
      </c>
      <c r="X157" t="str">
        <f>HYPERLINK("https://images.diginfra.net/framed3.html?imagesetuuid=42a0dd68-0122-4267-985e-43a657deae45&amp;uri=https://images.diginfra.net/iiif/NL-HaNA_1.01.02/3802/NL-HaNA_1.01.02_3802_0420.jpg", "prev_meeting_viewer_url")</f>
        <v>prev_meeting_viewer_url</v>
      </c>
      <c r="Y157" t="str">
        <f>HYPERLINK("https://images.diginfra.net/iiif/NL-HaNA_1.01.02/3802/NL-HaNA_1.01.02_3802_0420.jpg/2442,2328,1035,1031/full/0/default.jpg", "prev_meeting_iiif_url")</f>
        <v>prev_meeting_iiif_url</v>
      </c>
      <c r="Z157" t="s">
        <v>33</v>
      </c>
      <c r="AA157" t="s">
        <v>717</v>
      </c>
      <c r="AB157" t="str">
        <f>HYPERLINK("https://images.diginfra.net/framed3.html?imagesetuuid=42a0dd68-0122-4267-985e-43a657deae45&amp;uri=https://images.diginfra.net/iiif/NL-HaNA_1.01.02/3802/NL-HaNA_1.01.02_3802_0422.jpg", "next_meeting_viewer_url")</f>
        <v>next_meeting_viewer_url</v>
      </c>
      <c r="AC157" t="str">
        <f>HYPERLINK("https://images.diginfra.net/iiif/NL-HaNA_1.01.02/3802/NL-HaNA_1.01.02_3802_0422.jpg/2340,1662,1080,1700/full/0/default.jpg", "next_meeting_iiif_url")</f>
        <v>next_meeting_iiif_url</v>
      </c>
    </row>
    <row r="158" spans="1:29" x14ac:dyDescent="0.2">
      <c r="A158" t="s">
        <v>718</v>
      </c>
      <c r="B158" t="s">
        <v>85</v>
      </c>
      <c r="C158" t="s">
        <v>719</v>
      </c>
      <c r="D158" t="b">
        <v>1</v>
      </c>
      <c r="E158" t="b">
        <v>1</v>
      </c>
      <c r="F158">
        <v>1</v>
      </c>
      <c r="I158" t="s">
        <v>720</v>
      </c>
      <c r="J158">
        <v>3852</v>
      </c>
      <c r="K158">
        <v>318</v>
      </c>
      <c r="L158">
        <v>2356</v>
      </c>
      <c r="M158">
        <v>946</v>
      </c>
      <c r="N158">
        <f t="shared" si="4"/>
        <v>636</v>
      </c>
      <c r="O158">
        <v>635</v>
      </c>
      <c r="P158">
        <v>0</v>
      </c>
      <c r="Q158">
        <v>1</v>
      </c>
      <c r="R158">
        <v>0</v>
      </c>
      <c r="S158" t="s">
        <v>33</v>
      </c>
      <c r="T158" t="str">
        <f>HYPERLINK("https://images.diginfra.net/framed3.html?imagesetuuid=3b3d915a-84ba-4c76-9942-747a007cc965&amp;uri=https://images.diginfra.net/iiif/NL-HaNA_1.01.02/3852/NL-HaNA_1.01.02_3852_0318.jpg", "viewer_url")</f>
        <v>viewer_url</v>
      </c>
      <c r="U158" t="str">
        <f>HYPERLINK("https://images.diginfra.net/iiif/NL-HaNA_1.01.02/3852/NL-HaNA_1.01.02_3852_0318.jpg/2356,946,1076,2547/full/0/default.jpg", "iiif_url")</f>
        <v>iiif_url</v>
      </c>
      <c r="V158" t="s">
        <v>33</v>
      </c>
      <c r="W158" t="s">
        <v>721</v>
      </c>
      <c r="X158" t="str">
        <f>HYPERLINK("https://images.diginfra.net/framed3.html?imagesetuuid=3b3d915a-84ba-4c76-9942-747a007cc965&amp;uri=https://images.diginfra.net/iiif/NL-HaNA_1.01.02/3852/NL-HaNA_1.01.02_3852_0317.jpg", "prev_meeting_viewer_url")</f>
        <v>prev_meeting_viewer_url</v>
      </c>
      <c r="Y158" t="str">
        <f>HYPERLINK("https://images.diginfra.net/iiif/NL-HaNA_1.01.02/3852/NL-HaNA_1.01.02_3852_0317.jpg/1241,1323,1088,2059/full/0/default.jpg", "prev_meeting_iiif_url")</f>
        <v>prev_meeting_iiif_url</v>
      </c>
      <c r="Z158" t="s">
        <v>33</v>
      </c>
      <c r="AA158" t="s">
        <v>722</v>
      </c>
      <c r="AB158" t="str">
        <f>HYPERLINK("https://images.diginfra.net/framed3.html?imagesetuuid=3b3d915a-84ba-4c76-9942-747a007cc965&amp;uri=https://images.diginfra.net/iiif/NL-HaNA_1.01.02/3852/NL-HaNA_1.01.02_3852_0319.jpg", "next_meeting_viewer_url")</f>
        <v>next_meeting_viewer_url</v>
      </c>
      <c r="AC158" t="str">
        <f>HYPERLINK("https://images.diginfra.net/iiif/NL-HaNA_1.01.02/3852/NL-HaNA_1.01.02_3852_0319.jpg/348,1142,1065,2269/full/0/default.jpg", "next_meeting_iiif_url")</f>
        <v>next_meeting_iiif_url</v>
      </c>
    </row>
    <row r="159" spans="1:29" x14ac:dyDescent="0.2">
      <c r="A159" t="s">
        <v>723</v>
      </c>
      <c r="B159" t="s">
        <v>63</v>
      </c>
      <c r="D159" t="b">
        <v>0</v>
      </c>
      <c r="E159" t="b">
        <v>0</v>
      </c>
      <c r="F159">
        <v>1</v>
      </c>
      <c r="G159">
        <v>1</v>
      </c>
      <c r="I159" t="s">
        <v>724</v>
      </c>
      <c r="J159">
        <v>3807</v>
      </c>
      <c r="K159">
        <v>401</v>
      </c>
      <c r="N159">
        <f t="shared" si="4"/>
        <v>802</v>
      </c>
      <c r="O159">
        <v>800</v>
      </c>
      <c r="P159">
        <v>1</v>
      </c>
      <c r="Q159">
        <v>1</v>
      </c>
      <c r="R159">
        <v>0</v>
      </c>
      <c r="S159" t="s">
        <v>33</v>
      </c>
      <c r="T159" t="str">
        <f>HYPERLINK("https://images.diginfra.net/framed3.html?imagesetuuid=9cfa33f1-d711-4626-afe8-d82541dc4b2a&amp;uri=https://images.diginfra.net/iiif/NL-HaNA_1.01.02/3807/NL-HaNA_1.01.02_3807_0401.jpg", "viewer_url")</f>
        <v>viewer_url</v>
      </c>
      <c r="U159" t="str">
        <f>HYPERLINK("https://images.diginfra.net/iiif/NL-HaNA_1.01.02/3807/NL-HaNA_1.01.02_3807_0401.jpg/1157,1556,1094,1789/full/0/default.jpg", "iiif_url")</f>
        <v>iiif_url</v>
      </c>
      <c r="Z159" t="s">
        <v>33</v>
      </c>
      <c r="AA159" t="s">
        <v>725</v>
      </c>
      <c r="AB159" t="str">
        <f>HYPERLINK("https://images.diginfra.net/framed3.html?imagesetuuid=9cfa33f1-d711-4626-afe8-d82541dc4b2a&amp;uri=https://images.diginfra.net/iiif/NL-HaNA_1.01.02/3807/NL-HaNA_1.01.02_3807_0401.jpg", "next_meeting_viewer_url")</f>
        <v>next_meeting_viewer_url</v>
      </c>
      <c r="AC159" t="str">
        <f>HYPERLINK("https://images.diginfra.net/iiif/NL-HaNA_1.01.02/3807/NL-HaNA_1.01.02_3807_0401.jpg/1157,1556,1094,1789/full/0/default.jpg", "next_meeting_iiif_url")</f>
        <v>next_meeting_iiif_url</v>
      </c>
    </row>
    <row r="160" spans="1:29" x14ac:dyDescent="0.2">
      <c r="A160" t="s">
        <v>726</v>
      </c>
      <c r="B160" t="s">
        <v>79</v>
      </c>
      <c r="C160" t="s">
        <v>727</v>
      </c>
      <c r="D160" t="b">
        <v>1</v>
      </c>
      <c r="E160" t="b">
        <v>1</v>
      </c>
      <c r="F160">
        <v>1</v>
      </c>
      <c r="I160" t="s">
        <v>728</v>
      </c>
      <c r="J160">
        <v>3782</v>
      </c>
      <c r="K160">
        <v>441</v>
      </c>
      <c r="L160">
        <v>1275</v>
      </c>
      <c r="M160">
        <v>2363</v>
      </c>
      <c r="N160">
        <f t="shared" si="4"/>
        <v>882</v>
      </c>
      <c r="O160">
        <v>880</v>
      </c>
      <c r="P160">
        <v>1</v>
      </c>
      <c r="Q160">
        <v>1</v>
      </c>
      <c r="R160">
        <v>0</v>
      </c>
      <c r="S160" t="s">
        <v>33</v>
      </c>
      <c r="T160" t="str">
        <f>HYPERLINK("https://images.diginfra.net/framed3.html?imagesetuuid=6d3687da-fdc8-4a47-ac98-f85d45f74cb7&amp;uri=https://images.diginfra.net/iiif/NL-HaNA_1.01.02/3782/NL-HaNA_1.01.02_3782_0441.jpg", "viewer_url")</f>
        <v>viewer_url</v>
      </c>
      <c r="U160" t="str">
        <f>HYPERLINK("https://images.diginfra.net/iiif/NL-HaNA_1.01.02/3782/NL-HaNA_1.01.02_3782_0441.jpg/1275,2363,1112,1043/full/0/default.jpg", "iiif_url")</f>
        <v>iiif_url</v>
      </c>
      <c r="Z160" t="s">
        <v>33</v>
      </c>
      <c r="AA160" t="s">
        <v>729</v>
      </c>
      <c r="AB160" t="str">
        <f>HYPERLINK("https://images.diginfra.net/framed3.html?imagesetuuid=6d3687da-fdc8-4a47-ac98-f85d45f74cb7&amp;uri=https://images.diginfra.net/iiif/NL-HaNA_1.01.02/3782/NL-HaNA_1.01.02_3782_0442.jpg", "next_meeting_viewer_url")</f>
        <v>next_meeting_viewer_url</v>
      </c>
      <c r="AC160" t="str">
        <f>HYPERLINK("https://images.diginfra.net/iiif/NL-HaNA_1.01.02/3782/NL-HaNA_1.01.02_3782_0442.jpg/1330,2560,1047,843/full/0/default.jpg", "next_meeting_iiif_url")</f>
        <v>next_meeting_iiif_url</v>
      </c>
    </row>
    <row r="161" spans="1:29" x14ac:dyDescent="0.2">
      <c r="A161" t="s">
        <v>730</v>
      </c>
      <c r="B161" t="s">
        <v>59</v>
      </c>
      <c r="D161" t="b">
        <v>0</v>
      </c>
      <c r="E161" t="b">
        <v>0</v>
      </c>
      <c r="F161">
        <v>1</v>
      </c>
      <c r="G161">
        <v>1</v>
      </c>
      <c r="I161" t="s">
        <v>731</v>
      </c>
      <c r="J161">
        <v>3820</v>
      </c>
      <c r="K161">
        <v>230</v>
      </c>
      <c r="N161">
        <f t="shared" si="4"/>
        <v>460</v>
      </c>
      <c r="O161">
        <v>458</v>
      </c>
      <c r="P161">
        <v>1</v>
      </c>
      <c r="Q161">
        <v>1</v>
      </c>
      <c r="R161">
        <v>0</v>
      </c>
      <c r="S161" t="s">
        <v>44</v>
      </c>
      <c r="T161" t="str">
        <f>HYPERLINK("https://images.diginfra.net/framed3.html?imagesetuuid=06387344-f6be-4f89-be7c-57105578c47e&amp;uri=https://images.diginfra.net/iiif/NL-HaNA_1.01.02/3820/NL-HaNA_1.01.02_3820_0230.jpg", "viewer_url")</f>
        <v>viewer_url</v>
      </c>
      <c r="U161" t="str">
        <f>HYPERLINK("https://images.diginfra.net/iiif/NL-HaNA_1.01.02/3820/NL-HaNA_1.01.02_3820_0230.jpg/1222,2173,1042,1160/full/0/default.jpg", "iiif_url")</f>
        <v>iiif_url</v>
      </c>
      <c r="V161" t="s">
        <v>33</v>
      </c>
      <c r="W161" t="s">
        <v>732</v>
      </c>
      <c r="X161" t="str">
        <f>HYPERLINK("https://images.diginfra.net/framed3.html?imagesetuuid=06387344-f6be-4f89-be7c-57105578c47e&amp;uri=https://images.diginfra.net/iiif/NL-HaNA_1.01.02/3820/NL-HaNA_1.01.02_3820_0229.jpg", "prev_meeting_viewer_url")</f>
        <v>prev_meeting_viewer_url</v>
      </c>
      <c r="Y161" t="str">
        <f>HYPERLINK("https://images.diginfra.net/iiif/NL-HaNA_1.01.02/3820/NL-HaNA_1.01.02_3820_0229.jpg/253,526,1059,2805/full/0/default.jpg", "prev_meeting_iiif_url")</f>
        <v>prev_meeting_iiif_url</v>
      </c>
      <c r="Z161" t="s">
        <v>44</v>
      </c>
      <c r="AA161" t="s">
        <v>733</v>
      </c>
      <c r="AB161" t="str">
        <f>HYPERLINK("https://images.diginfra.net/framed3.html?imagesetuuid=06387344-f6be-4f89-be7c-57105578c47e&amp;uri=https://images.diginfra.net/iiif/NL-HaNA_1.01.02/3820/NL-HaNA_1.01.02_3820_0230.jpg", "next_meeting_viewer_url")</f>
        <v>next_meeting_viewer_url</v>
      </c>
      <c r="AC161" t="str">
        <f>HYPERLINK("https://images.diginfra.net/iiif/NL-HaNA_1.01.02/3820/NL-HaNA_1.01.02_3820_0230.jpg/1222,2173,1042,1160/full/0/default.jpg", "next_meeting_iiif_url")</f>
        <v>next_meeting_iiif_url</v>
      </c>
    </row>
    <row r="162" spans="1:29" x14ac:dyDescent="0.2">
      <c r="A162" t="s">
        <v>734</v>
      </c>
      <c r="B162" t="s">
        <v>63</v>
      </c>
      <c r="D162" t="b">
        <v>0</v>
      </c>
      <c r="E162" t="b">
        <v>0</v>
      </c>
      <c r="F162">
        <v>1</v>
      </c>
      <c r="G162">
        <v>1</v>
      </c>
      <c r="I162" t="s">
        <v>735</v>
      </c>
      <c r="J162">
        <v>3777</v>
      </c>
      <c r="K162">
        <v>331</v>
      </c>
      <c r="N162">
        <f t="shared" si="4"/>
        <v>662</v>
      </c>
      <c r="O162">
        <v>660</v>
      </c>
      <c r="P162">
        <v>0</v>
      </c>
      <c r="Q162">
        <v>1</v>
      </c>
      <c r="R162">
        <v>0</v>
      </c>
      <c r="S162" t="s">
        <v>33</v>
      </c>
      <c r="T162" t="str">
        <f>HYPERLINK("https://images.diginfra.net/framed3.html?imagesetuuid=d79a5b0f-25ac-4440-9b23-adc237614d07&amp;uri=https://images.diginfra.net/iiif/NL-HaNA_1.01.02/3777/NL-HaNA_1.01.02_3777_0331.jpg", "viewer_url")</f>
        <v>viewer_url</v>
      </c>
      <c r="U162" t="str">
        <f>HYPERLINK("https://images.diginfra.net/iiif/NL-HaNA_1.01.02/3777/NL-HaNA_1.01.02_3777_0331.jpg/298,1307,1085,2098/full/0/default.jpg", "iiif_url")</f>
        <v>iiif_url</v>
      </c>
      <c r="V162" t="s">
        <v>33</v>
      </c>
      <c r="W162" t="s">
        <v>736</v>
      </c>
      <c r="X162" t="str">
        <f>HYPERLINK("https://images.diginfra.net/framed3.html?imagesetuuid=d79a5b0f-25ac-4440-9b23-adc237614d07&amp;uri=https://images.diginfra.net/iiif/NL-HaNA_1.01.02/3777/NL-HaNA_1.01.02_3777_0328.jpg", "prev_meeting_viewer_url")</f>
        <v>prev_meeting_viewer_url</v>
      </c>
      <c r="Y162" t="str">
        <f>HYPERLINK("https://images.diginfra.net/iiif/NL-HaNA_1.01.02/3777/NL-HaNA_1.01.02_3777_0328.jpg/3403,586,1099,2767/full/0/default.jpg", "prev_meeting_iiif_url")</f>
        <v>prev_meeting_iiif_url</v>
      </c>
      <c r="Z162" t="s">
        <v>33</v>
      </c>
      <c r="AA162" t="s">
        <v>737</v>
      </c>
      <c r="AB162" t="str">
        <f>HYPERLINK("https://images.diginfra.net/framed3.html?imagesetuuid=d79a5b0f-25ac-4440-9b23-adc237614d07&amp;uri=https://images.diginfra.net/iiif/NL-HaNA_1.01.02/3777/NL-HaNA_1.01.02_3777_0331.jpg", "next_meeting_viewer_url")</f>
        <v>next_meeting_viewer_url</v>
      </c>
      <c r="AC162" t="str">
        <f>HYPERLINK("https://images.diginfra.net/iiif/NL-HaNA_1.01.02/3777/NL-HaNA_1.01.02_3777_0331.jpg/298,1307,1085,2098/full/0/default.jpg", "next_meeting_iiif_url")</f>
        <v>next_meeting_iiif_url</v>
      </c>
    </row>
    <row r="163" spans="1:29" x14ac:dyDescent="0.2">
      <c r="A163" t="s">
        <v>738</v>
      </c>
      <c r="B163" t="s">
        <v>79</v>
      </c>
      <c r="C163" t="s">
        <v>739</v>
      </c>
      <c r="D163" t="b">
        <v>1</v>
      </c>
      <c r="E163" t="b">
        <v>1</v>
      </c>
      <c r="F163">
        <v>1</v>
      </c>
      <c r="I163" t="s">
        <v>740</v>
      </c>
      <c r="J163">
        <v>3815</v>
      </c>
      <c r="K163">
        <v>459</v>
      </c>
      <c r="L163">
        <v>2426</v>
      </c>
      <c r="M163">
        <v>1140</v>
      </c>
      <c r="N163">
        <f t="shared" si="4"/>
        <v>918</v>
      </c>
      <c r="O163">
        <v>917</v>
      </c>
      <c r="P163">
        <v>0</v>
      </c>
      <c r="Q163">
        <v>1</v>
      </c>
      <c r="R163">
        <v>0</v>
      </c>
      <c r="S163" t="s">
        <v>33</v>
      </c>
      <c r="T163" t="str">
        <f>HYPERLINK("https://images.diginfra.net/framed3.html?imagesetuuid=c649f39d-5b94-4d9d-8000-33acd4342c36&amp;uri=https://images.diginfra.net/iiif/NL-HaNA_1.01.02/3815/NL-HaNA_1.01.02_3815_0459.jpg", "viewer_url")</f>
        <v>viewer_url</v>
      </c>
      <c r="U163" t="str">
        <f>HYPERLINK("https://images.diginfra.net/iiif/NL-HaNA_1.01.02/3815/NL-HaNA_1.01.02_3815_0459.jpg/2426,1140,1094,2244/full/0/default.jpg", "iiif_url")</f>
        <v>iiif_url</v>
      </c>
      <c r="V163" t="s">
        <v>33</v>
      </c>
      <c r="W163" t="s">
        <v>741</v>
      </c>
      <c r="X163" t="str">
        <f>HYPERLINK("https://images.diginfra.net/framed3.html?imagesetuuid=c649f39d-5b94-4d9d-8000-33acd4342c36&amp;uri=https://images.diginfra.net/iiif/NL-HaNA_1.01.02/3815/NL-HaNA_1.01.02_3815_0458.jpg", "prev_meeting_viewer_url")</f>
        <v>prev_meeting_viewer_url</v>
      </c>
      <c r="Y163" t="str">
        <f>HYPERLINK("https://images.diginfra.net/iiif/NL-HaNA_1.01.02/3815/NL-HaNA_1.01.02_3815_0458.jpg/1309,737,1097,2633/full/0/default.jpg", "prev_meeting_iiif_url")</f>
        <v>prev_meeting_iiif_url</v>
      </c>
      <c r="Z163" t="s">
        <v>33</v>
      </c>
      <c r="AB163" t="str">
        <f>HYPERLINK("https://images.diginfra.net/framed3.html?imagesetuuid=c649f39d-5b94-4d9d-8000-33acd4342c36&amp;uri=https://images.diginfra.net/iiif/NL-HaNA_1.01.02/3815/NL-HaNA_1.01.02_3815_0461.jpg", "next_meeting_viewer_url")</f>
        <v>next_meeting_viewer_url</v>
      </c>
      <c r="AC163" t="str">
        <f>HYPERLINK("https://images.diginfra.net/iiif/NL-HaNA_1.01.02/3815/NL-HaNA_1.01.02_3815_0461.jpg/1304,326,1113,2997/full/0/default.jpg", "next_meeting_iiif_url")</f>
        <v>next_meeting_iiif_url</v>
      </c>
    </row>
    <row r="164" spans="1:29" x14ac:dyDescent="0.2">
      <c r="A164" t="s">
        <v>742</v>
      </c>
      <c r="B164" t="s">
        <v>30</v>
      </c>
      <c r="C164" t="s">
        <v>743</v>
      </c>
      <c r="D164" t="b">
        <v>1</v>
      </c>
      <c r="E164" t="b">
        <v>1</v>
      </c>
      <c r="F164">
        <v>1</v>
      </c>
      <c r="I164" t="s">
        <v>744</v>
      </c>
      <c r="J164">
        <v>3764</v>
      </c>
      <c r="K164">
        <v>230</v>
      </c>
      <c r="L164">
        <v>1183</v>
      </c>
      <c r="M164">
        <v>1496</v>
      </c>
      <c r="N164">
        <f t="shared" si="4"/>
        <v>460</v>
      </c>
      <c r="O164">
        <v>458</v>
      </c>
      <c r="P164">
        <v>1</v>
      </c>
      <c r="Q164">
        <v>1</v>
      </c>
      <c r="R164">
        <v>0</v>
      </c>
      <c r="S164" t="s">
        <v>33</v>
      </c>
      <c r="T164" t="str">
        <f>HYPERLINK("https://images.diginfra.net/framed3.html?imagesetuuid=111590de-8f08-498e-8bad-f6a289f87065&amp;uri=https://images.diginfra.net/iiif/NL-HaNA_1.01.02/3764/NL-HaNA_1.01.02_3764_0230.jpg", "viewer_url")</f>
        <v>viewer_url</v>
      </c>
      <c r="U164" t="str">
        <f>HYPERLINK("https://images.diginfra.net/iiif/NL-HaNA_1.01.02/3764/NL-HaNA_1.01.02_3764_0230.jpg/1183,1496,1115,1913/full/0/default.jpg", "iiif_url")</f>
        <v>iiif_url</v>
      </c>
      <c r="V164" t="s">
        <v>33</v>
      </c>
      <c r="W164" t="s">
        <v>745</v>
      </c>
      <c r="X164" t="str">
        <f>HYPERLINK("https://images.diginfra.net/framed3.html?imagesetuuid=111590de-8f08-498e-8bad-f6a289f87065&amp;uri=https://images.diginfra.net/iiif/NL-HaNA_1.01.02/3764/NL-HaNA_1.01.02_3764_0228.jpg", "prev_meeting_viewer_url")</f>
        <v>prev_meeting_viewer_url</v>
      </c>
      <c r="Y164" t="str">
        <f>HYPERLINK("https://images.diginfra.net/iiif/NL-HaNA_1.01.02/3764/NL-HaNA_1.01.02_3764_0228.jpg/2476,2111,1037,1230/full/0/default.jpg", "prev_meeting_iiif_url")</f>
        <v>prev_meeting_iiif_url</v>
      </c>
      <c r="Z164" t="s">
        <v>33</v>
      </c>
      <c r="AA164" t="s">
        <v>746</v>
      </c>
      <c r="AB164" t="str">
        <f>HYPERLINK("https://images.diginfra.net/framed3.html?imagesetuuid=111590de-8f08-498e-8bad-f6a289f87065&amp;uri=https://images.diginfra.net/iiif/NL-HaNA_1.01.02/3764/NL-HaNA_1.01.02_3764_0231.jpg", "next_meeting_viewer_url")</f>
        <v>next_meeting_viewer_url</v>
      </c>
      <c r="AC164" t="str">
        <f>HYPERLINK("https://images.diginfra.net/iiif/NL-HaNA_1.01.02/3764/NL-HaNA_1.01.02_3764_0231.jpg/3432,1143,1096,2305/full/0/default.jpg", "next_meeting_iiif_url")</f>
        <v>next_meeting_iiif_url</v>
      </c>
    </row>
    <row r="165" spans="1:29" x14ac:dyDescent="0.2">
      <c r="A165" t="s">
        <v>747</v>
      </c>
      <c r="B165" t="s">
        <v>63</v>
      </c>
      <c r="D165" t="b">
        <v>0</v>
      </c>
      <c r="E165" t="b">
        <v>0</v>
      </c>
      <c r="F165">
        <v>1</v>
      </c>
      <c r="G165">
        <v>1</v>
      </c>
      <c r="I165" t="s">
        <v>748</v>
      </c>
      <c r="J165">
        <v>3787</v>
      </c>
      <c r="K165">
        <v>362</v>
      </c>
      <c r="N165">
        <f t="shared" si="4"/>
        <v>724</v>
      </c>
      <c r="O165">
        <v>723</v>
      </c>
      <c r="P165">
        <v>0</v>
      </c>
      <c r="Q165">
        <v>1</v>
      </c>
      <c r="R165">
        <v>0</v>
      </c>
      <c r="S165" t="s">
        <v>33</v>
      </c>
      <c r="T165" t="str">
        <f>HYPERLINK("https://images.diginfra.net/framed3.html?imagesetuuid=db7b00f7-0cd1-4078-9123-41ccf17bd821&amp;uri=https://images.diginfra.net/iiif/NL-HaNA_1.01.02/3787/NL-HaNA_1.01.02_3787_0362.jpg", "viewer_url")</f>
        <v>viewer_url</v>
      </c>
      <c r="U165" t="str">
        <f>HYPERLINK("https://images.diginfra.net/iiif/NL-HaNA_1.01.02/3787/NL-HaNA_1.01.02_3787_0362.jpg/2369,2227,1030,1145/full/0/default.jpg", "iiif_url")</f>
        <v>iiif_url</v>
      </c>
      <c r="V165" t="s">
        <v>33</v>
      </c>
      <c r="W165" t="s">
        <v>749</v>
      </c>
      <c r="X165" t="str">
        <f>HYPERLINK("https://images.diginfra.net/framed3.html?imagesetuuid=db7b00f7-0cd1-4078-9123-41ccf17bd821&amp;uri=https://images.diginfra.net/iiif/NL-HaNA_1.01.02/3787/NL-HaNA_1.01.02_3787_0361.jpg", "prev_meeting_viewer_url")</f>
        <v>prev_meeting_viewer_url</v>
      </c>
      <c r="Y165" t="str">
        <f>HYPERLINK("https://images.diginfra.net/iiif/NL-HaNA_1.01.02/3787/NL-HaNA_1.01.02_3787_0361.jpg/3277,1539,1096,1905/full/0/default.jpg", "prev_meeting_iiif_url")</f>
        <v>prev_meeting_iiif_url</v>
      </c>
      <c r="Z165" t="s">
        <v>33</v>
      </c>
      <c r="AA165" t="s">
        <v>750</v>
      </c>
      <c r="AB165" t="str">
        <f>HYPERLINK("https://images.diginfra.net/framed3.html?imagesetuuid=db7b00f7-0cd1-4078-9123-41ccf17bd821&amp;uri=https://images.diginfra.net/iiif/NL-HaNA_1.01.02/3787/NL-HaNA_1.01.02_3787_0362.jpg", "next_meeting_viewer_url")</f>
        <v>next_meeting_viewer_url</v>
      </c>
      <c r="AC165" t="str">
        <f>HYPERLINK("https://images.diginfra.net/iiif/NL-HaNA_1.01.02/3787/NL-HaNA_1.01.02_3787_0362.jpg/2369,2227,1030,1145/full/0/default.jpg", "next_meeting_iiif_url")</f>
        <v>next_meeting_iiif_url</v>
      </c>
    </row>
    <row r="166" spans="1:29" x14ac:dyDescent="0.2">
      <c r="A166" t="s">
        <v>751</v>
      </c>
      <c r="B166" t="s">
        <v>37</v>
      </c>
      <c r="C166" t="s">
        <v>752</v>
      </c>
      <c r="D166" t="b">
        <v>1</v>
      </c>
      <c r="E166" t="b">
        <v>1</v>
      </c>
      <c r="F166">
        <v>1</v>
      </c>
      <c r="I166" t="s">
        <v>753</v>
      </c>
      <c r="J166">
        <v>3822</v>
      </c>
      <c r="K166">
        <v>179</v>
      </c>
      <c r="L166">
        <v>1192</v>
      </c>
      <c r="M166">
        <v>652</v>
      </c>
      <c r="N166">
        <f t="shared" si="4"/>
        <v>358</v>
      </c>
      <c r="O166">
        <v>356</v>
      </c>
      <c r="P166">
        <v>1</v>
      </c>
      <c r="Q166">
        <v>1</v>
      </c>
      <c r="R166">
        <v>0</v>
      </c>
      <c r="S166" t="s">
        <v>33</v>
      </c>
      <c r="T166" t="str">
        <f>HYPERLINK("https://images.diginfra.net/framed3.html?imagesetuuid=e0965315-891d-46c1-9dac-fc6b729921cf&amp;uri=https://images.diginfra.net/iiif/NL-HaNA_1.01.02/3822/NL-HaNA_1.01.02_3822_0179.jpg", "viewer_url")</f>
        <v>viewer_url</v>
      </c>
      <c r="U166" t="str">
        <f>HYPERLINK("https://images.diginfra.net/iiif/NL-HaNA_1.01.02/3822/NL-HaNA_1.01.02_3822_0179.jpg/1192,652,1064,2652/full/0/default.jpg", "iiif_url")</f>
        <v>iiif_url</v>
      </c>
      <c r="V166" t="s">
        <v>33</v>
      </c>
      <c r="W166" t="s">
        <v>754</v>
      </c>
      <c r="X166" t="str">
        <f>HYPERLINK("https://images.diginfra.net/framed3.html?imagesetuuid=e0965315-891d-46c1-9dac-fc6b729921cf&amp;uri=https://images.diginfra.net/iiif/NL-HaNA_1.01.02/3822/NL-HaNA_1.01.02_3822_0177.jpg", "prev_meeting_viewer_url")</f>
        <v>prev_meeting_viewer_url</v>
      </c>
      <c r="Y166" t="str">
        <f>HYPERLINK("https://images.diginfra.net/iiif/NL-HaNA_1.01.02/3822/NL-HaNA_1.01.02_3822_0177.jpg/1224,2871,1049,525/full/0/default.jpg", "prev_meeting_iiif_url")</f>
        <v>prev_meeting_iiif_url</v>
      </c>
      <c r="Z166" t="s">
        <v>44</v>
      </c>
      <c r="AA166" t="s">
        <v>755</v>
      </c>
      <c r="AB166" t="str">
        <f>HYPERLINK("https://images.diginfra.net/framed3.html?imagesetuuid=e0965315-891d-46c1-9dac-fc6b729921cf&amp;uri=https://images.diginfra.net/iiif/NL-HaNA_1.01.02/3822/NL-HaNA_1.01.02_3822_0180.jpg", "next_meeting_viewer_url")</f>
        <v>next_meeting_viewer_url</v>
      </c>
      <c r="AC166" t="str">
        <f>HYPERLINK("https://images.diginfra.net/iiif/NL-HaNA_1.01.02/3822/NL-HaNA_1.01.02_3822_0180.jpg/255,1908,1068,1415/full/0/default.jpg", "next_meeting_iiif_url")</f>
        <v>next_meeting_iiif_url</v>
      </c>
    </row>
    <row r="167" spans="1:29" x14ac:dyDescent="0.2">
      <c r="A167" t="s">
        <v>756</v>
      </c>
      <c r="B167" t="s">
        <v>30</v>
      </c>
      <c r="C167" t="s">
        <v>757</v>
      </c>
      <c r="D167" t="b">
        <v>1</v>
      </c>
      <c r="E167" t="b">
        <v>1</v>
      </c>
      <c r="F167">
        <v>1</v>
      </c>
      <c r="I167" t="s">
        <v>758</v>
      </c>
      <c r="J167">
        <v>3853</v>
      </c>
      <c r="K167">
        <v>327</v>
      </c>
      <c r="L167">
        <v>1108</v>
      </c>
      <c r="M167">
        <v>920</v>
      </c>
      <c r="N167">
        <f t="shared" si="4"/>
        <v>654</v>
      </c>
      <c r="O167">
        <v>652</v>
      </c>
      <c r="P167">
        <v>3</v>
      </c>
      <c r="Q167">
        <v>2</v>
      </c>
      <c r="R167">
        <v>0</v>
      </c>
      <c r="S167" t="s">
        <v>33</v>
      </c>
      <c r="T167" t="str">
        <f>HYPERLINK("https://images.diginfra.net/framed3.html?imagesetuuid=70af21ed-3dea-44e0-a125-396f50f1c89e&amp;uri=https://images.diginfra.net/iiif/NL-HaNA_1.01.02/3853/NL-HaNA_1.01.02_3853_0327.jpg", "viewer_url")</f>
        <v>viewer_url</v>
      </c>
      <c r="U167" t="str">
        <f>HYPERLINK("https://images.diginfra.net/iiif/NL-HaNA_1.01.02/3853/NL-HaNA_1.01.02_3853_0327.jpg/1108,920,1171,2457/full/0/default.jpg", "iiif_url")</f>
        <v>iiif_url</v>
      </c>
      <c r="V167" t="s">
        <v>33</v>
      </c>
      <c r="W167" t="s">
        <v>759</v>
      </c>
      <c r="X167" t="str">
        <f>HYPERLINK("https://images.diginfra.net/framed3.html?imagesetuuid=70af21ed-3dea-44e0-a125-396f50f1c89e&amp;uri=https://images.diginfra.net/iiif/NL-HaNA_1.01.02/3853/NL-HaNA_1.01.02_3853_0325.jpg", "prev_meeting_viewer_url")</f>
        <v>prev_meeting_viewer_url</v>
      </c>
      <c r="Y167" t="str">
        <f>HYPERLINK("https://images.diginfra.net/iiif/NL-HaNA_1.01.02/3853/NL-HaNA_1.01.02_3853_0325.jpg/1213,2421,1015,994/full/0/default.jpg", "prev_meeting_iiif_url")</f>
        <v>prev_meeting_iiif_url</v>
      </c>
      <c r="Z167" t="s">
        <v>33</v>
      </c>
      <c r="AA167" t="s">
        <v>760</v>
      </c>
      <c r="AB167" t="str">
        <f>HYPERLINK("https://images.diginfra.net/framed3.html?imagesetuuid=70af21ed-3dea-44e0-a125-396f50f1c89e&amp;uri=https://images.diginfra.net/iiif/NL-HaNA_1.01.02/3853/NL-HaNA_1.01.02_3853_0332.jpg", "next_meeting_viewer_url")</f>
        <v>next_meeting_viewer_url</v>
      </c>
      <c r="AC167" t="str">
        <f>HYPERLINK("https://images.diginfra.net/iiif/NL-HaNA_1.01.02/3853/NL-HaNA_1.01.02_3853_0332.jpg/2419,1559,1075,1877/full/0/default.jpg", "next_meeting_iiif_url")</f>
        <v>next_meeting_iiif_url</v>
      </c>
    </row>
    <row r="168" spans="1:29" x14ac:dyDescent="0.2">
      <c r="A168" t="s">
        <v>761</v>
      </c>
      <c r="B168" t="s">
        <v>85</v>
      </c>
      <c r="D168" t="b">
        <v>0</v>
      </c>
      <c r="E168" t="b">
        <v>0</v>
      </c>
      <c r="F168">
        <v>1</v>
      </c>
      <c r="G168">
        <v>1</v>
      </c>
      <c r="I168" t="s">
        <v>762</v>
      </c>
      <c r="J168">
        <v>3793</v>
      </c>
      <c r="K168">
        <v>410</v>
      </c>
      <c r="N168">
        <f t="shared" si="4"/>
        <v>820</v>
      </c>
      <c r="O168">
        <v>819</v>
      </c>
      <c r="P168">
        <v>0</v>
      </c>
      <c r="Q168">
        <v>1</v>
      </c>
      <c r="R168">
        <v>0</v>
      </c>
      <c r="S168" t="s">
        <v>33</v>
      </c>
      <c r="T168" t="str">
        <f>HYPERLINK("https://images.diginfra.net/framed3.html?imagesetuuid=8305a309-5c79-4c0c-a981-7e350c76be32&amp;uri=https://images.diginfra.net/iiif/NL-HaNA_1.01.02/3793/NL-HaNA_1.01.02_3793_0410.jpg", "viewer_url")</f>
        <v>viewer_url</v>
      </c>
      <c r="U168" t="str">
        <f>HYPERLINK("https://images.diginfra.net/iiif/NL-HaNA_1.01.02/3793/NL-HaNA_1.01.02_3793_0410.jpg/2473,1647,1031,1791/full/0/default.jpg", "iiif_url")</f>
        <v>iiif_url</v>
      </c>
      <c r="V168" t="s">
        <v>33</v>
      </c>
      <c r="W168" t="s">
        <v>763</v>
      </c>
      <c r="X168" t="str">
        <f>HYPERLINK("https://images.diginfra.net/framed3.html?imagesetuuid=8305a309-5c79-4c0c-a981-7e350c76be32&amp;uri=https://images.diginfra.net/iiif/NL-HaNA_1.01.02/3793/NL-HaNA_1.01.02_3793_0410.jpg", "prev_meeting_viewer_url")</f>
        <v>prev_meeting_viewer_url</v>
      </c>
      <c r="Y168" t="str">
        <f>HYPERLINK("https://images.diginfra.net/iiif/NL-HaNA_1.01.02/3793/NL-HaNA_1.01.02_3793_0410.jpg/242,712,1088,2665/full/0/default.jpg", "prev_meeting_iiif_url")</f>
        <v>prev_meeting_iiif_url</v>
      </c>
      <c r="Z168" t="s">
        <v>33</v>
      </c>
      <c r="AA168" t="s">
        <v>764</v>
      </c>
      <c r="AB168" t="str">
        <f>HYPERLINK("https://images.diginfra.net/framed3.html?imagesetuuid=8305a309-5c79-4c0c-a981-7e350c76be32&amp;uri=https://images.diginfra.net/iiif/NL-HaNA_1.01.02/3793/NL-HaNA_1.01.02_3793_0410.jpg", "next_meeting_viewer_url")</f>
        <v>next_meeting_viewer_url</v>
      </c>
      <c r="AC168" t="str">
        <f>HYPERLINK("https://images.diginfra.net/iiif/NL-HaNA_1.01.02/3793/NL-HaNA_1.01.02_3793_0410.jpg/2473,1647,1031,1791/full/0/default.jpg", "next_meeting_iiif_url")</f>
        <v>next_meeting_iiif_url</v>
      </c>
    </row>
    <row r="169" spans="1:29" x14ac:dyDescent="0.2">
      <c r="A169" t="s">
        <v>765</v>
      </c>
      <c r="B169" t="s">
        <v>48</v>
      </c>
      <c r="C169" t="s">
        <v>766</v>
      </c>
      <c r="D169" t="b">
        <v>1</v>
      </c>
      <c r="E169" t="b">
        <v>1</v>
      </c>
      <c r="F169">
        <v>1</v>
      </c>
      <c r="I169" t="s">
        <v>767</v>
      </c>
      <c r="J169">
        <v>3805</v>
      </c>
      <c r="K169">
        <v>100</v>
      </c>
      <c r="L169">
        <v>254</v>
      </c>
      <c r="M169">
        <v>2753</v>
      </c>
      <c r="N169">
        <f t="shared" si="4"/>
        <v>200</v>
      </c>
      <c r="O169">
        <v>198</v>
      </c>
      <c r="P169">
        <v>0</v>
      </c>
      <c r="Q169">
        <v>1</v>
      </c>
      <c r="R169">
        <v>0</v>
      </c>
      <c r="S169" t="s">
        <v>33</v>
      </c>
      <c r="T169" t="str">
        <f>HYPERLINK("https://images.diginfra.net/framed3.html?imagesetuuid=e8c5617e-c060-4d57-a0d9-c22a4796ba85&amp;uri=https://images.diginfra.net/iiif/NL-HaNA_1.01.02/3805/NL-HaNA_1.01.02_3805_0100.jpg", "viewer_url")</f>
        <v>viewer_url</v>
      </c>
      <c r="U169" t="str">
        <f>HYPERLINK("https://images.diginfra.net/iiif/NL-HaNA_1.01.02/3805/NL-HaNA_1.01.02_3805_0100.jpg/254,2753,1077,646/full/0/default.jpg", "iiif_url")</f>
        <v>iiif_url</v>
      </c>
      <c r="V169" t="s">
        <v>33</v>
      </c>
      <c r="W169" t="s">
        <v>768</v>
      </c>
      <c r="X169" t="str">
        <f>HYPERLINK("https://images.diginfra.net/framed3.html?imagesetuuid=e8c5617e-c060-4d57-a0d9-c22a4796ba85&amp;uri=https://images.diginfra.net/iiif/NL-HaNA_1.01.02/3805/NL-HaNA_1.01.02_3805_0097.jpg", "prev_meeting_viewer_url")</f>
        <v>prev_meeting_viewer_url</v>
      </c>
      <c r="Y169" t="str">
        <f>HYPERLINK("https://images.diginfra.net/iiif/NL-HaNA_1.01.02/3805/NL-HaNA_1.01.02_3805_0097.jpg/3339,2764,1092,649/full/0/default.jpg", "prev_meeting_iiif_url")</f>
        <v>prev_meeting_iiif_url</v>
      </c>
      <c r="Z169" t="s">
        <v>33</v>
      </c>
      <c r="AA169" t="s">
        <v>769</v>
      </c>
      <c r="AB169" t="str">
        <f>HYPERLINK("https://images.diginfra.net/framed3.html?imagesetuuid=e8c5617e-c060-4d57-a0d9-c22a4796ba85&amp;uri=https://images.diginfra.net/iiif/NL-HaNA_1.01.02/3805/NL-HaNA_1.01.02_3805_0100.jpg", "next_meeting_viewer_url")</f>
        <v>next_meeting_viewer_url</v>
      </c>
      <c r="AC169" t="str">
        <f>HYPERLINK("https://images.diginfra.net/iiif/NL-HaNA_1.01.02/3805/NL-HaNA_1.01.02_3805_0100.jpg/3355,2267,1097,1158/full/0/default.jpg", "next_meeting_iiif_url")</f>
        <v>next_meeting_iiif_url</v>
      </c>
    </row>
    <row r="170" spans="1:29" x14ac:dyDescent="0.2">
      <c r="A170" t="s">
        <v>770</v>
      </c>
      <c r="B170" t="s">
        <v>48</v>
      </c>
      <c r="C170" t="s">
        <v>771</v>
      </c>
      <c r="D170" t="b">
        <v>1</v>
      </c>
      <c r="E170" t="b">
        <v>1</v>
      </c>
      <c r="F170">
        <v>1</v>
      </c>
      <c r="I170" t="s">
        <v>772</v>
      </c>
      <c r="J170">
        <v>3772</v>
      </c>
      <c r="K170">
        <v>432</v>
      </c>
      <c r="L170">
        <v>2394</v>
      </c>
      <c r="M170">
        <v>698</v>
      </c>
      <c r="N170">
        <f t="shared" si="4"/>
        <v>864</v>
      </c>
      <c r="O170">
        <v>863</v>
      </c>
      <c r="P170">
        <v>0</v>
      </c>
      <c r="Q170">
        <v>1</v>
      </c>
      <c r="R170">
        <v>0</v>
      </c>
      <c r="S170" t="s">
        <v>33</v>
      </c>
      <c r="T170" t="str">
        <f>HYPERLINK("https://images.diginfra.net/framed3.html?imagesetuuid=7816564e-398d-48a2-b251-a02a50cc0b59&amp;uri=https://images.diginfra.net/iiif/NL-HaNA_1.01.02/3772/NL-HaNA_1.01.02_3772_0432.jpg", "viewer_url")</f>
        <v>viewer_url</v>
      </c>
      <c r="U170" t="str">
        <f>HYPERLINK("https://images.diginfra.net/iiif/NL-HaNA_1.01.02/3772/NL-HaNA_1.01.02_3772_0432.jpg/2394,698,1087,2702/full/0/default.jpg", "iiif_url")</f>
        <v>iiif_url</v>
      </c>
      <c r="V170" t="s">
        <v>33</v>
      </c>
      <c r="W170" t="s">
        <v>773</v>
      </c>
      <c r="X170" t="str">
        <f>HYPERLINK("https://images.diginfra.net/framed3.html?imagesetuuid=7816564e-398d-48a2-b251-a02a50cc0b59&amp;uri=https://images.diginfra.net/iiif/NL-HaNA_1.01.02/3772/NL-HaNA_1.01.02_3772_0430.jpg", "prev_meeting_viewer_url")</f>
        <v>prev_meeting_viewer_url</v>
      </c>
      <c r="Y170" t="str">
        <f>HYPERLINK("https://images.diginfra.net/iiif/NL-HaNA_1.01.02/3772/NL-HaNA_1.01.02_3772_0430.jpg/3400,2400,1025,906/full/0/default.jpg", "prev_meeting_iiif_url")</f>
        <v>prev_meeting_iiif_url</v>
      </c>
      <c r="Z170" t="s">
        <v>33</v>
      </c>
      <c r="AA170" t="s">
        <v>774</v>
      </c>
      <c r="AB170" t="str">
        <f>HYPERLINK("https://images.diginfra.net/framed3.html?imagesetuuid=7816564e-398d-48a2-b251-a02a50cc0b59&amp;uri=https://images.diginfra.net/iiif/NL-HaNA_1.01.02/3772/NL-HaNA_1.01.02_3772_0435.jpg", "next_meeting_viewer_url")</f>
        <v>next_meeting_viewer_url</v>
      </c>
      <c r="AC170" t="str">
        <f>HYPERLINK("https://images.diginfra.net/iiif/NL-HaNA_1.01.02/3772/NL-HaNA_1.01.02_3772_0435.jpg/206,1315,1096,2102/full/0/default.jpg", "next_meeting_iiif_url")</f>
        <v>next_meeting_iiif_url</v>
      </c>
    </row>
    <row r="171" spans="1:29" x14ac:dyDescent="0.2">
      <c r="A171" t="s">
        <v>775</v>
      </c>
      <c r="B171" t="s">
        <v>48</v>
      </c>
      <c r="C171" t="s">
        <v>755</v>
      </c>
      <c r="D171" t="b">
        <v>1</v>
      </c>
      <c r="E171" t="b">
        <v>1</v>
      </c>
      <c r="F171">
        <v>1</v>
      </c>
      <c r="I171" t="s">
        <v>776</v>
      </c>
      <c r="J171">
        <v>3822</v>
      </c>
      <c r="K171">
        <v>180</v>
      </c>
      <c r="L171">
        <v>255</v>
      </c>
      <c r="M171">
        <v>1908</v>
      </c>
      <c r="N171">
        <f t="shared" si="4"/>
        <v>360</v>
      </c>
      <c r="O171">
        <v>358</v>
      </c>
      <c r="P171">
        <v>0</v>
      </c>
      <c r="Q171">
        <v>1</v>
      </c>
      <c r="R171">
        <v>1</v>
      </c>
      <c r="S171" t="s">
        <v>44</v>
      </c>
      <c r="T171" t="str">
        <f>HYPERLINK("https://images.diginfra.net/framed3.html?imagesetuuid=e0965315-891d-46c1-9dac-fc6b729921cf&amp;uri=https://images.diginfra.net/iiif/NL-HaNA_1.01.02/3822/NL-HaNA_1.01.02_3822_0180.jpg", "viewer_url")</f>
        <v>viewer_url</v>
      </c>
      <c r="U171" t="str">
        <f>HYPERLINK("https://images.diginfra.net/iiif/NL-HaNA_1.01.02/3822/NL-HaNA_1.01.02_3822_0180.jpg/255,1908,1068,1415/full/0/default.jpg", "iiif_url")</f>
        <v>iiif_url</v>
      </c>
      <c r="V171" t="s">
        <v>33</v>
      </c>
      <c r="W171" t="s">
        <v>752</v>
      </c>
      <c r="X171" t="str">
        <f>HYPERLINK("https://images.diginfra.net/framed3.html?imagesetuuid=e0965315-891d-46c1-9dac-fc6b729921cf&amp;uri=https://images.diginfra.net/iiif/NL-HaNA_1.01.02/3822/NL-HaNA_1.01.02_3822_0179.jpg", "prev_meeting_viewer_url")</f>
        <v>prev_meeting_viewer_url</v>
      </c>
      <c r="Y171" t="str">
        <f>HYPERLINK("https://images.diginfra.net/iiif/NL-HaNA_1.01.02/3822/NL-HaNA_1.01.02_3822_0179.jpg/1192,652,1064,2652/full/0/default.jpg", "prev_meeting_iiif_url")</f>
        <v>prev_meeting_iiif_url</v>
      </c>
    </row>
    <row r="172" spans="1:29" x14ac:dyDescent="0.2">
      <c r="A172" t="s">
        <v>777</v>
      </c>
      <c r="B172" t="s">
        <v>48</v>
      </c>
      <c r="C172" t="s">
        <v>778</v>
      </c>
      <c r="D172" t="b">
        <v>1</v>
      </c>
      <c r="E172" t="b">
        <v>1</v>
      </c>
      <c r="F172">
        <v>1</v>
      </c>
      <c r="I172" t="s">
        <v>779</v>
      </c>
      <c r="J172">
        <v>3783</v>
      </c>
      <c r="K172">
        <v>214</v>
      </c>
      <c r="L172">
        <v>1160</v>
      </c>
      <c r="M172">
        <v>680</v>
      </c>
      <c r="N172">
        <f t="shared" si="4"/>
        <v>428</v>
      </c>
      <c r="O172">
        <v>426</v>
      </c>
      <c r="P172">
        <v>1</v>
      </c>
      <c r="Q172">
        <v>1</v>
      </c>
      <c r="R172">
        <v>0</v>
      </c>
      <c r="S172" t="s">
        <v>33</v>
      </c>
      <c r="T172" t="str">
        <f>HYPERLINK("https://images.diginfra.net/framed3.html?imagesetuuid=67533019-4ca0-4b08-b87e-fd5590e7a077&amp;uri=https://images.diginfra.net/iiif/NL-HaNA_1.01.02/3783/NL-HaNA_1.01.02_3783_0214.jpg", "viewer_url")</f>
        <v>viewer_url</v>
      </c>
      <c r="U172" t="str">
        <f>HYPERLINK("https://images.diginfra.net/iiif/NL-HaNA_1.01.02/3783/NL-HaNA_1.01.02_3783_0214.jpg/1160,680,1116,2786/full/0/default.jpg", "iiif_url")</f>
        <v>iiif_url</v>
      </c>
      <c r="V172" t="s">
        <v>33</v>
      </c>
      <c r="W172" t="s">
        <v>704</v>
      </c>
      <c r="X172" t="str">
        <f>HYPERLINK("https://images.diginfra.net/framed3.html?imagesetuuid=67533019-4ca0-4b08-b87e-fd5590e7a077&amp;uri=https://images.diginfra.net/iiif/NL-HaNA_1.01.02/3783/NL-HaNA_1.01.02_3783_0211.jpg", "prev_meeting_viewer_url")</f>
        <v>prev_meeting_viewer_url</v>
      </c>
      <c r="Y172" t="str">
        <f>HYPERLINK("https://images.diginfra.net/iiif/NL-HaNA_1.01.02/3783/NL-HaNA_1.01.02_3783_0211.jpg/2407,1841,1076,1617/full/0/default.jpg", "prev_meeting_iiif_url")</f>
        <v>prev_meeting_iiif_url</v>
      </c>
      <c r="Z172" t="s">
        <v>33</v>
      </c>
      <c r="AA172" t="s">
        <v>780</v>
      </c>
      <c r="AB172" t="str">
        <f>HYPERLINK("https://images.diginfra.net/framed3.html?imagesetuuid=67533019-4ca0-4b08-b87e-fd5590e7a077&amp;uri=https://images.diginfra.net/iiif/NL-HaNA_1.01.02/3783/NL-HaNA_1.01.02_3783_0216.jpg", "next_meeting_viewer_url")</f>
        <v>next_meeting_viewer_url</v>
      </c>
      <c r="AC172" t="str">
        <f>HYPERLINK("https://images.diginfra.net/iiif/NL-HaNA_1.01.02/3783/NL-HaNA_1.01.02_3783_0216.jpg/3356,2069,1075,1319/full/0/default.jpg", "next_meeting_iiif_url")</f>
        <v>next_meeting_iiif_url</v>
      </c>
    </row>
    <row r="173" spans="1:29" x14ac:dyDescent="0.2">
      <c r="A173" t="s">
        <v>781</v>
      </c>
      <c r="B173" t="s">
        <v>59</v>
      </c>
      <c r="C173" t="s">
        <v>782</v>
      </c>
      <c r="D173" t="b">
        <v>1</v>
      </c>
      <c r="E173" t="b">
        <v>1</v>
      </c>
      <c r="F173">
        <v>1</v>
      </c>
      <c r="I173" t="s">
        <v>783</v>
      </c>
      <c r="J173">
        <v>3760</v>
      </c>
      <c r="K173">
        <v>649</v>
      </c>
      <c r="L173">
        <v>328</v>
      </c>
      <c r="M173">
        <v>1361</v>
      </c>
      <c r="N173">
        <f t="shared" si="4"/>
        <v>1298</v>
      </c>
      <c r="O173">
        <v>1296</v>
      </c>
      <c r="P173">
        <v>0</v>
      </c>
      <c r="Q173">
        <v>1</v>
      </c>
      <c r="R173">
        <v>15</v>
      </c>
      <c r="S173" t="s">
        <v>33</v>
      </c>
      <c r="T173" t="str">
        <f>HYPERLINK("https://images.diginfra.net/framed3.html?imagesetuuid=dc1aea1e-5e7b-4d50-b913-c0d5902dbd85&amp;uri=https://images.diginfra.net/iiif/NL-HaNA_1.01.02/3760/NL-HaNA_1.01.02_3760_0649.jpg", "viewer_url")</f>
        <v>viewer_url</v>
      </c>
      <c r="U173" t="str">
        <f>HYPERLINK("https://images.diginfra.net/iiif/NL-HaNA_1.01.02/3760/NL-HaNA_1.01.02_3760_0649.jpg/328,1361,1100,1967/full/0/default.jpg", "iiif_url")</f>
        <v>iiif_url</v>
      </c>
      <c r="V173" t="s">
        <v>33</v>
      </c>
      <c r="W173" t="s">
        <v>784</v>
      </c>
      <c r="X173" t="str">
        <f>HYPERLINK("https://images.diginfra.net/framed3.html?imagesetuuid=dc1aea1e-5e7b-4d50-b913-c0d5902dbd85&amp;uri=https://images.diginfra.net/iiif/NL-HaNA_1.01.02/3760/NL-HaNA_1.01.02_3760_0645.jpg", "prev_meeting_viewer_url")</f>
        <v>prev_meeting_viewer_url</v>
      </c>
      <c r="Y173" t="str">
        <f>HYPERLINK("https://images.diginfra.net/iiif/NL-HaNA_1.01.02/3760/NL-HaNA_1.01.02_3760_0645.jpg/3364,757,1114,2626/full/0/default.jpg", "prev_meeting_iiif_url")</f>
        <v>prev_meeting_iiif_url</v>
      </c>
      <c r="Z173" t="s">
        <v>33</v>
      </c>
      <c r="AA173" t="s">
        <v>785</v>
      </c>
      <c r="AB173" t="str">
        <f>HYPERLINK("https://images.diginfra.net/framed3.html?imagesetuuid=dc1aea1e-5e7b-4d50-b913-c0d5902dbd85&amp;uri=https://images.diginfra.net/iiif/NL-HaNA_1.01.02/3760/NL-HaNA_1.01.02_3760_0652.jpg", "next_meeting_viewer_url")</f>
        <v>next_meeting_viewer_url</v>
      </c>
      <c r="AC173" t="str">
        <f>HYPERLINK("https://images.diginfra.net/iiif/NL-HaNA_1.01.02/3760/NL-HaNA_1.01.02_3760_0652.jpg/350,759,1114,2657/full/0/default.jpg", "next_meeting_iiif_url")</f>
        <v>next_meeting_iiif_url</v>
      </c>
    </row>
    <row r="174" spans="1:29" x14ac:dyDescent="0.2">
      <c r="A174" t="s">
        <v>786</v>
      </c>
      <c r="B174" t="s">
        <v>48</v>
      </c>
      <c r="C174" t="s">
        <v>787</v>
      </c>
      <c r="D174" t="b">
        <v>1</v>
      </c>
      <c r="E174" t="b">
        <v>1</v>
      </c>
      <c r="F174">
        <v>1</v>
      </c>
      <c r="I174" t="s">
        <v>788</v>
      </c>
      <c r="J174">
        <v>3831</v>
      </c>
      <c r="K174">
        <v>157</v>
      </c>
      <c r="L174">
        <v>238</v>
      </c>
      <c r="M174">
        <v>281</v>
      </c>
      <c r="N174">
        <f t="shared" si="4"/>
        <v>314</v>
      </c>
      <c r="O174">
        <v>312</v>
      </c>
      <c r="P174">
        <v>0</v>
      </c>
      <c r="Q174">
        <v>0</v>
      </c>
      <c r="R174">
        <v>0</v>
      </c>
      <c r="S174" t="s">
        <v>33</v>
      </c>
      <c r="T174" t="str">
        <f>HYPERLINK("https://images.diginfra.net/framed3.html?imagesetuuid=fbccadee-0831-4262-9b53-6f48467f765a&amp;uri=https://images.diginfra.net/iiif/NL-HaNA_1.01.02/3831/NL-HaNA_1.01.02_3831_0157.jpg", "viewer_url")</f>
        <v>viewer_url</v>
      </c>
      <c r="U174" t="str">
        <f>HYPERLINK("https://images.diginfra.net/iiif/NL-HaNA_1.01.02/3831/NL-HaNA_1.01.02_3831_0157.jpg/238,281,1085,3130/full/0/default.jpg", "iiif_url")</f>
        <v>iiif_url</v>
      </c>
      <c r="V174" t="s">
        <v>33</v>
      </c>
      <c r="W174" t="s">
        <v>789</v>
      </c>
      <c r="X174" t="str">
        <f>HYPERLINK("https://images.diginfra.net/framed3.html?imagesetuuid=fbccadee-0831-4262-9b53-6f48467f765a&amp;uri=https://images.diginfra.net/iiif/NL-HaNA_1.01.02/3831/NL-HaNA_1.01.02_3831_0150.jpg", "prev_meeting_viewer_url")</f>
        <v>prev_meeting_viewer_url</v>
      </c>
      <c r="Y174" t="str">
        <f>HYPERLINK("https://images.diginfra.net/iiif/NL-HaNA_1.01.02/3831/NL-HaNA_1.01.02_3831_0150.jpg/3363,2848,1009,567/full/0/default.jpg", "prev_meeting_iiif_url")</f>
        <v>prev_meeting_iiif_url</v>
      </c>
      <c r="Z174" t="s">
        <v>33</v>
      </c>
      <c r="AA174" t="s">
        <v>790</v>
      </c>
      <c r="AB174" t="str">
        <f>HYPERLINK("https://images.diginfra.net/framed3.html?imagesetuuid=fbccadee-0831-4262-9b53-6f48467f765a&amp;uri=https://images.diginfra.net/iiif/NL-HaNA_1.01.02/3831/NL-HaNA_1.01.02_3831_0158.jpg", "next_meeting_viewer_url")</f>
        <v>next_meeting_viewer_url</v>
      </c>
      <c r="AC174" t="str">
        <f>HYPERLINK("https://images.diginfra.net/iiif/NL-HaNA_1.01.02/3831/NL-HaNA_1.01.02_3831_0158.jpg/256,473,1075,2925/full/0/default.jpg", "next_meeting_iiif_url")</f>
        <v>next_meeting_iiif_url</v>
      </c>
    </row>
    <row r="175" spans="1:29" x14ac:dyDescent="0.2">
      <c r="A175" t="s">
        <v>791</v>
      </c>
      <c r="B175" t="s">
        <v>59</v>
      </c>
      <c r="C175" t="s">
        <v>792</v>
      </c>
      <c r="D175" t="b">
        <v>1</v>
      </c>
      <c r="E175" t="b">
        <v>1</v>
      </c>
      <c r="F175">
        <v>1</v>
      </c>
      <c r="I175" t="s">
        <v>793</v>
      </c>
      <c r="J175">
        <v>3808</v>
      </c>
      <c r="K175">
        <v>285</v>
      </c>
      <c r="L175">
        <v>1232</v>
      </c>
      <c r="M175">
        <v>562</v>
      </c>
      <c r="N175">
        <f t="shared" si="4"/>
        <v>570</v>
      </c>
      <c r="O175">
        <v>568</v>
      </c>
      <c r="P175">
        <v>1</v>
      </c>
      <c r="Q175">
        <v>1</v>
      </c>
      <c r="R175">
        <v>0</v>
      </c>
      <c r="S175" t="s">
        <v>33</v>
      </c>
      <c r="T175" t="str">
        <f>HYPERLINK("https://images.diginfra.net/framed3.html?imagesetuuid=d7b14369-fedc-4c2f-b4ba-0014f4e297b6&amp;uri=https://images.diginfra.net/iiif/NL-HaNA_1.01.02/3808/NL-HaNA_1.01.02_3808_0285.jpg", "viewer_url")</f>
        <v>viewer_url</v>
      </c>
      <c r="U175" t="str">
        <f>HYPERLINK("https://images.diginfra.net/iiif/NL-HaNA_1.01.02/3808/NL-HaNA_1.01.02_3808_0285.jpg/1232,562,1098,2826/full/0/default.jpg", "iiif_url")</f>
        <v>iiif_url</v>
      </c>
      <c r="V175" t="s">
        <v>33</v>
      </c>
      <c r="W175" t="s">
        <v>794</v>
      </c>
      <c r="X175" t="str">
        <f>HYPERLINK("https://images.diginfra.net/framed3.html?imagesetuuid=d7b14369-fedc-4c2f-b4ba-0014f4e297b6&amp;uri=https://images.diginfra.net/iiif/NL-HaNA_1.01.02/3808/NL-HaNA_1.01.02_3808_0283.jpg", "prev_meeting_viewer_url")</f>
        <v>prev_meeting_viewer_url</v>
      </c>
      <c r="Y175" t="str">
        <f>HYPERLINK("https://images.diginfra.net/iiif/NL-HaNA_1.01.02/3808/NL-HaNA_1.01.02_3808_0283.jpg/1265,2424,1037,1025/full/0/default.jpg", "prev_meeting_iiif_url")</f>
        <v>prev_meeting_iiif_url</v>
      </c>
      <c r="Z175" t="s">
        <v>33</v>
      </c>
      <c r="AA175" t="s">
        <v>795</v>
      </c>
      <c r="AB175" t="str">
        <f>HYPERLINK("https://images.diginfra.net/framed3.html?imagesetuuid=d7b14369-fedc-4c2f-b4ba-0014f4e297b6&amp;uri=https://images.diginfra.net/iiif/NL-HaNA_1.01.02/3808/NL-HaNA_1.01.02_3808_0286.jpg", "next_meeting_viewer_url")</f>
        <v>next_meeting_viewer_url</v>
      </c>
      <c r="AC175" t="str">
        <f>HYPERLINK("https://images.diginfra.net/iiif/NL-HaNA_1.01.02/3808/NL-HaNA_1.01.02_3808_0286.jpg/1173,1614,1094,1780/full/0/default.jpg", "next_meeting_iiif_url")</f>
        <v>next_meeting_iiif_url</v>
      </c>
    </row>
    <row r="176" spans="1:29" x14ac:dyDescent="0.2">
      <c r="A176" t="s">
        <v>796</v>
      </c>
      <c r="B176" t="s">
        <v>79</v>
      </c>
      <c r="C176" t="s">
        <v>797</v>
      </c>
      <c r="D176" t="b">
        <v>1</v>
      </c>
      <c r="E176" t="b">
        <v>1</v>
      </c>
      <c r="F176">
        <v>1</v>
      </c>
      <c r="I176" t="s">
        <v>798</v>
      </c>
      <c r="J176">
        <v>3781</v>
      </c>
      <c r="K176">
        <v>117</v>
      </c>
      <c r="L176">
        <v>430</v>
      </c>
      <c r="M176">
        <v>1560</v>
      </c>
      <c r="N176">
        <f t="shared" si="4"/>
        <v>234</v>
      </c>
      <c r="O176">
        <v>232</v>
      </c>
      <c r="P176">
        <v>0</v>
      </c>
      <c r="Q176">
        <v>0</v>
      </c>
      <c r="R176">
        <v>26</v>
      </c>
      <c r="S176" t="s">
        <v>33</v>
      </c>
      <c r="T176" t="str">
        <f>HYPERLINK("https://images.diginfra.net/framed3.html?imagesetuuid=7806433b-7f26-4d4e-8e76-37d108a188de&amp;uri=https://images.diginfra.net/iiif/NL-HaNA_1.01.02/3781/NL-HaNA_1.01.02_3781_0117.jpg", "viewer_url")</f>
        <v>viewer_url</v>
      </c>
      <c r="U176" t="str">
        <f>HYPERLINK("https://images.diginfra.net/iiif/NL-HaNA_1.01.02/3781/NL-HaNA_1.01.02_3781_0117.jpg/430,1560,1093,1894/full/0/default.jpg", "iiif_url")</f>
        <v>iiif_url</v>
      </c>
      <c r="V176" t="s">
        <v>33</v>
      </c>
      <c r="W176" t="s">
        <v>799</v>
      </c>
      <c r="X176" t="str">
        <f>HYPERLINK("https://images.diginfra.net/framed3.html?imagesetuuid=7806433b-7f26-4d4e-8e76-37d108a188de&amp;uri=https://images.diginfra.net/iiif/NL-HaNA_1.01.02/3781/NL-HaNA_1.01.02_3781_0115.jpg", "prev_meeting_viewer_url")</f>
        <v>prev_meeting_viewer_url</v>
      </c>
      <c r="Y176" t="str">
        <f>HYPERLINK("https://images.diginfra.net/iiif/NL-HaNA_1.01.02/3781/NL-HaNA_1.01.02_3781_0115.jpg/2646,1437,1097,2063/full/0/default.jpg", "prev_meeting_iiif_url")</f>
        <v>prev_meeting_iiif_url</v>
      </c>
      <c r="Z176" t="s">
        <v>33</v>
      </c>
      <c r="AA176" t="s">
        <v>800</v>
      </c>
      <c r="AB176" t="str">
        <f>HYPERLINK("https://images.diginfra.net/framed3.html?imagesetuuid=7806433b-7f26-4d4e-8e76-37d108a188de&amp;uri=https://images.diginfra.net/iiif/NL-HaNA_1.01.02/3781/NL-HaNA_1.01.02_3781_0118.jpg", "next_meeting_viewer_url")</f>
        <v>next_meeting_viewer_url</v>
      </c>
      <c r="AC176" t="str">
        <f>HYPERLINK("https://images.diginfra.net/iiif/NL-HaNA_1.01.02/3781/NL-HaNA_1.01.02_3781_0118.jpg/435,1595,1096,1874/full/0/default.jpg", "next_meeting_iiif_url")</f>
        <v>next_meeting_iiif_url</v>
      </c>
    </row>
    <row r="177" spans="1:29" x14ac:dyDescent="0.2">
      <c r="A177" t="s">
        <v>801</v>
      </c>
      <c r="B177" t="s">
        <v>48</v>
      </c>
      <c r="C177" t="s">
        <v>802</v>
      </c>
      <c r="D177" t="b">
        <v>1</v>
      </c>
      <c r="E177" t="b">
        <v>1</v>
      </c>
      <c r="F177">
        <v>1</v>
      </c>
      <c r="I177" t="s">
        <v>803</v>
      </c>
      <c r="J177">
        <v>3777</v>
      </c>
      <c r="K177">
        <v>238</v>
      </c>
      <c r="L177">
        <v>1334</v>
      </c>
      <c r="M177">
        <v>675</v>
      </c>
      <c r="N177">
        <f t="shared" si="4"/>
        <v>476</v>
      </c>
      <c r="O177">
        <v>474</v>
      </c>
      <c r="P177">
        <v>1</v>
      </c>
      <c r="Q177">
        <v>1</v>
      </c>
      <c r="R177">
        <v>0</v>
      </c>
      <c r="S177" t="s">
        <v>33</v>
      </c>
      <c r="T177" t="str">
        <f>HYPERLINK("https://images.diginfra.net/framed3.html?imagesetuuid=d79a5b0f-25ac-4440-9b23-adc237614d07&amp;uri=https://images.diginfra.net/iiif/NL-HaNA_1.01.02/3777/NL-HaNA_1.01.02_3777_0238.jpg", "viewer_url")</f>
        <v>viewer_url</v>
      </c>
      <c r="U177" t="str">
        <f>HYPERLINK("https://images.diginfra.net/iiif/NL-HaNA_1.01.02/3777/NL-HaNA_1.01.02_3777_0238.jpg/1334,675,1109,2719/full/0/default.jpg", "iiif_url")</f>
        <v>iiif_url</v>
      </c>
      <c r="V177" t="s">
        <v>33</v>
      </c>
      <c r="W177" t="s">
        <v>804</v>
      </c>
      <c r="X177" t="str">
        <f>HYPERLINK("https://images.diginfra.net/framed3.html?imagesetuuid=d79a5b0f-25ac-4440-9b23-adc237614d07&amp;uri=https://images.diginfra.net/iiif/NL-HaNA_1.01.02/3777/NL-HaNA_1.01.02_3777_0238.jpg", "prev_meeting_viewer_url")</f>
        <v>prev_meeting_viewer_url</v>
      </c>
      <c r="Y177" t="str">
        <f>HYPERLINK("https://images.diginfra.net/iiif/NL-HaNA_1.01.02/3777/NL-HaNA_1.01.02_3777_0238.jpg/358,282,1139,3114/full/0/default.jpg", "prev_meeting_iiif_url")</f>
        <v>prev_meeting_iiif_url</v>
      </c>
      <c r="Z177" t="s">
        <v>33</v>
      </c>
      <c r="AA177" t="s">
        <v>805</v>
      </c>
      <c r="AB177" t="str">
        <f>HYPERLINK("https://images.diginfra.net/framed3.html?imagesetuuid=d79a5b0f-25ac-4440-9b23-adc237614d07&amp;uri=https://images.diginfra.net/iiif/NL-HaNA_1.01.02/3777/NL-HaNA_1.01.02_3777_0239.jpg", "next_meeting_viewer_url")</f>
        <v>next_meeting_viewer_url</v>
      </c>
      <c r="AC177" t="str">
        <f>HYPERLINK("https://images.diginfra.net/iiif/NL-HaNA_1.01.02/3777/NL-HaNA_1.01.02_3777_0239.jpg/2433,1988,1089,1428/full/0/default.jpg", "next_meeting_iiif_url")</f>
        <v>next_meeting_iiif_url</v>
      </c>
    </row>
    <row r="178" spans="1:29" x14ac:dyDescent="0.2">
      <c r="A178" t="s">
        <v>806</v>
      </c>
      <c r="B178" t="s">
        <v>59</v>
      </c>
      <c r="C178" t="s">
        <v>807</v>
      </c>
      <c r="D178" t="b">
        <v>1</v>
      </c>
      <c r="E178" t="b">
        <v>1</v>
      </c>
      <c r="F178">
        <v>1</v>
      </c>
      <c r="I178" t="s">
        <v>808</v>
      </c>
      <c r="J178">
        <v>3789</v>
      </c>
      <c r="K178">
        <v>134</v>
      </c>
      <c r="L178">
        <v>1250</v>
      </c>
      <c r="M178">
        <v>539</v>
      </c>
      <c r="N178">
        <f t="shared" si="4"/>
        <v>268</v>
      </c>
      <c r="O178">
        <v>266</v>
      </c>
      <c r="P178">
        <v>1</v>
      </c>
      <c r="Q178">
        <v>1</v>
      </c>
      <c r="R178">
        <v>0</v>
      </c>
      <c r="S178" t="s">
        <v>44</v>
      </c>
      <c r="T178" t="str">
        <f>HYPERLINK("https://images.diginfra.net/framed3.html?imagesetuuid=b2a3e6f4-5cd7-4539-b0af-036095fc5ec2&amp;uri=https://images.diginfra.net/iiif/NL-HaNA_1.01.02/3789/NL-HaNA_1.01.02_3789_0134.jpg", "viewer_url")</f>
        <v>viewer_url</v>
      </c>
      <c r="U178" t="str">
        <f>HYPERLINK("https://images.diginfra.net/iiif/NL-HaNA_1.01.02/3789/NL-HaNA_1.01.02_3789_0134.jpg/1250,539,1100,2901/full/0/default.jpg", "iiif_url")</f>
        <v>iiif_url</v>
      </c>
      <c r="Z178" t="s">
        <v>44</v>
      </c>
      <c r="AA178" t="s">
        <v>809</v>
      </c>
      <c r="AB178" t="str">
        <f>HYPERLINK("https://images.diginfra.net/framed3.html?imagesetuuid=b2a3e6f4-5cd7-4539-b0af-036095fc5ec2&amp;uri=https://images.diginfra.net/iiif/NL-HaNA_1.01.02/3789/NL-HaNA_1.01.02_3789_0133.jpg", "next_meeting_viewer_url")</f>
        <v>next_meeting_viewer_url</v>
      </c>
      <c r="AC178" t="str">
        <f>HYPERLINK("https://images.diginfra.net/iiif/NL-HaNA_1.01.02/3789/NL-HaNA_1.01.02_3789_0133.jpg/338,2808,1056,637/full/0/default.jpg", "next_meeting_iiif_url")</f>
        <v>next_meeting_iiif_url</v>
      </c>
    </row>
    <row r="179" spans="1:29" x14ac:dyDescent="0.2">
      <c r="A179" t="s">
        <v>810</v>
      </c>
      <c r="B179" t="s">
        <v>85</v>
      </c>
      <c r="C179" t="s">
        <v>811</v>
      </c>
      <c r="D179" t="b">
        <v>1</v>
      </c>
      <c r="E179" t="b">
        <v>1</v>
      </c>
      <c r="F179">
        <v>1</v>
      </c>
      <c r="I179" t="s">
        <v>812</v>
      </c>
      <c r="J179">
        <v>3822</v>
      </c>
      <c r="K179">
        <v>207</v>
      </c>
      <c r="L179">
        <v>3318</v>
      </c>
      <c r="M179">
        <v>354</v>
      </c>
      <c r="N179">
        <f t="shared" si="4"/>
        <v>414</v>
      </c>
      <c r="O179">
        <v>413</v>
      </c>
      <c r="P179">
        <v>1</v>
      </c>
      <c r="Q179">
        <v>1</v>
      </c>
      <c r="R179">
        <v>0</v>
      </c>
      <c r="S179" t="s">
        <v>33</v>
      </c>
      <c r="T179" t="str">
        <f>HYPERLINK("https://images.diginfra.net/framed3.html?imagesetuuid=e0965315-891d-46c1-9dac-fc6b729921cf&amp;uri=https://images.diginfra.net/iiif/NL-HaNA_1.01.02/3822/NL-HaNA_1.01.02_3822_0207.jpg", "viewer_url")</f>
        <v>viewer_url</v>
      </c>
      <c r="U179" t="str">
        <f>HYPERLINK("https://images.diginfra.net/iiif/NL-HaNA_1.01.02/3822/NL-HaNA_1.01.02_3822_0207.jpg/3318,354,1070,3018/full/0/default.jpg", "iiif_url")</f>
        <v>iiif_url</v>
      </c>
      <c r="V179" t="s">
        <v>33</v>
      </c>
      <c r="W179" t="s">
        <v>813</v>
      </c>
      <c r="X179" t="str">
        <f>HYPERLINK("https://images.diginfra.net/framed3.html?imagesetuuid=e0965315-891d-46c1-9dac-fc6b729921cf&amp;uri=https://images.diginfra.net/iiif/NL-HaNA_1.01.02/3822/NL-HaNA_1.01.02_3822_0204.jpg", "prev_meeting_viewer_url")</f>
        <v>prev_meeting_viewer_url</v>
      </c>
      <c r="Y179" t="str">
        <f>HYPERLINK("https://images.diginfra.net/iiif/NL-HaNA_1.01.02/3822/NL-HaNA_1.01.02_3822_0204.jpg/1282,2635,1018,732/full/0/default.jpg", "prev_meeting_iiif_url")</f>
        <v>prev_meeting_iiif_url</v>
      </c>
      <c r="Z179" t="s">
        <v>33</v>
      </c>
      <c r="AA179" t="s">
        <v>814</v>
      </c>
      <c r="AB179" t="str">
        <f>HYPERLINK("https://images.diginfra.net/framed3.html?imagesetuuid=e0965315-891d-46c1-9dac-fc6b729921cf&amp;uri=https://images.diginfra.net/iiif/NL-HaNA_1.01.02/3822/NL-HaNA_1.01.02_3822_0208.jpg", "next_meeting_viewer_url")</f>
        <v>next_meeting_viewer_url</v>
      </c>
      <c r="AC179" t="str">
        <f>HYPERLINK("https://images.diginfra.net/iiif/NL-HaNA_1.01.02/3822/NL-HaNA_1.01.02_3822_0208.jpg/2422,2098,1006,1234/full/0/default.jpg", "next_meeting_iiif_url")</f>
        <v>next_meeting_iiif_url</v>
      </c>
    </row>
    <row r="180" spans="1:29" x14ac:dyDescent="0.2">
      <c r="A180" t="s">
        <v>815</v>
      </c>
      <c r="B180" t="s">
        <v>48</v>
      </c>
      <c r="C180" t="s">
        <v>816</v>
      </c>
      <c r="D180" t="b">
        <v>1</v>
      </c>
      <c r="E180" t="b">
        <v>1</v>
      </c>
      <c r="F180">
        <v>1</v>
      </c>
      <c r="I180" t="s">
        <v>817</v>
      </c>
      <c r="J180">
        <v>3839</v>
      </c>
      <c r="K180">
        <v>84</v>
      </c>
      <c r="L180">
        <v>3346</v>
      </c>
      <c r="M180">
        <v>1945</v>
      </c>
      <c r="N180">
        <f t="shared" si="4"/>
        <v>168</v>
      </c>
      <c r="O180">
        <v>167</v>
      </c>
      <c r="P180">
        <v>1</v>
      </c>
      <c r="Q180">
        <v>2</v>
      </c>
      <c r="R180">
        <v>0</v>
      </c>
      <c r="S180" t="s">
        <v>33</v>
      </c>
      <c r="T180" t="str">
        <f>HYPERLINK("https://images.diginfra.net/framed3.html?imagesetuuid=bd074b51-3206-4dd9-b65b-2a404481d480&amp;uri=https://images.diginfra.net/iiif/NL-HaNA_1.01.02/3839/NL-HaNA_1.01.02_3839_0084.jpg", "viewer_url")</f>
        <v>viewer_url</v>
      </c>
      <c r="U180" t="str">
        <f>HYPERLINK("https://images.diginfra.net/iiif/NL-HaNA_1.01.02/3839/NL-HaNA_1.01.02_3839_0084.jpg/3346,1945,1044,1324/full/0/default.jpg", "iiif_url")</f>
        <v>iiif_url</v>
      </c>
      <c r="V180" t="s">
        <v>33</v>
      </c>
      <c r="W180" t="s">
        <v>818</v>
      </c>
      <c r="X180" t="str">
        <f>HYPERLINK("https://images.diginfra.net/framed3.html?imagesetuuid=bd074b51-3206-4dd9-b65b-2a404481d480&amp;uri=https://images.diginfra.net/iiif/NL-HaNA_1.01.02/3839/NL-HaNA_1.01.02_3839_0084.jpg", "prev_meeting_viewer_url")</f>
        <v>prev_meeting_viewer_url</v>
      </c>
      <c r="Y180" t="str">
        <f>HYPERLINK("https://images.diginfra.net/iiif/NL-HaNA_1.01.02/3839/NL-HaNA_1.01.02_3839_0084.jpg/235,2179,1049,1272/full/0/default.jpg", "prev_meeting_iiif_url")</f>
        <v>prev_meeting_iiif_url</v>
      </c>
      <c r="Z180" t="s">
        <v>33</v>
      </c>
      <c r="AA180" t="s">
        <v>819</v>
      </c>
      <c r="AB180" t="str">
        <f>HYPERLINK("https://images.diginfra.net/framed3.html?imagesetuuid=bd074b51-3206-4dd9-b65b-2a404481d480&amp;uri=https://images.diginfra.net/iiif/NL-HaNA_1.01.02/3839/NL-HaNA_1.01.02_3839_0086.jpg", "next_meeting_viewer_url")</f>
        <v>next_meeting_viewer_url</v>
      </c>
      <c r="AC180" t="str">
        <f>HYPERLINK("https://images.diginfra.net/iiif/NL-HaNA_1.01.02/3839/NL-HaNA_1.01.02_3839_0086.jpg/3288,523,1102,2917/full/0/default.jpg", "next_meeting_iiif_url")</f>
        <v>next_meeting_iiif_url</v>
      </c>
    </row>
    <row r="181" spans="1:29" x14ac:dyDescent="0.2">
      <c r="A181" t="s">
        <v>820</v>
      </c>
      <c r="B181" t="s">
        <v>59</v>
      </c>
      <c r="C181" t="s">
        <v>821</v>
      </c>
      <c r="D181" t="b">
        <v>1</v>
      </c>
      <c r="E181" t="b">
        <v>1</v>
      </c>
      <c r="F181">
        <v>1</v>
      </c>
      <c r="I181" t="s">
        <v>822</v>
      </c>
      <c r="J181">
        <v>3801</v>
      </c>
      <c r="K181">
        <v>340</v>
      </c>
      <c r="L181">
        <v>3356</v>
      </c>
      <c r="M181">
        <v>665</v>
      </c>
      <c r="N181">
        <f t="shared" si="4"/>
        <v>680</v>
      </c>
      <c r="O181">
        <v>679</v>
      </c>
      <c r="P181">
        <v>1</v>
      </c>
      <c r="Q181">
        <v>1</v>
      </c>
      <c r="R181">
        <v>0</v>
      </c>
      <c r="S181" t="s">
        <v>33</v>
      </c>
      <c r="T181" t="str">
        <f>HYPERLINK("https://images.diginfra.net/framed3.html?imagesetuuid=f36c8416-59a8-4b1a-a82a-ef225cbd1971&amp;uri=https://images.diginfra.net/iiif/NL-HaNA_1.01.02/3801/NL-HaNA_1.01.02_3801_0340.jpg", "viewer_url")</f>
        <v>viewer_url</v>
      </c>
      <c r="U181" t="str">
        <f>HYPERLINK("https://images.diginfra.net/iiif/NL-HaNA_1.01.02/3801/NL-HaNA_1.01.02_3801_0340.jpg/3356,665,1103,2755/full/0/default.jpg", "iiif_url")</f>
        <v>iiif_url</v>
      </c>
      <c r="V181" t="s">
        <v>33</v>
      </c>
      <c r="W181" t="s">
        <v>823</v>
      </c>
      <c r="X181" t="str">
        <f>HYPERLINK("https://images.diginfra.net/framed3.html?imagesetuuid=f36c8416-59a8-4b1a-a82a-ef225cbd1971&amp;uri=https://images.diginfra.net/iiif/NL-HaNA_1.01.02/3801/NL-HaNA_1.01.02_3801_0339.jpg", "prev_meeting_viewer_url")</f>
        <v>prev_meeting_viewer_url</v>
      </c>
      <c r="Y181" t="str">
        <f>HYPERLINK("https://images.diginfra.net/iiif/NL-HaNA_1.01.02/3801/NL-HaNA_1.01.02_3801_0339.jpg/3435,2560,1046,817/full/0/default.jpg", "prev_meeting_iiif_url")</f>
        <v>prev_meeting_iiif_url</v>
      </c>
      <c r="Z181" t="s">
        <v>33</v>
      </c>
      <c r="AA181" t="s">
        <v>824</v>
      </c>
      <c r="AB181" t="str">
        <f>HYPERLINK("https://images.diginfra.net/framed3.html?imagesetuuid=f36c8416-59a8-4b1a-a82a-ef225cbd1971&amp;uri=https://images.diginfra.net/iiif/NL-HaNA_1.01.02/3801/NL-HaNA_1.01.02_3801_0341.jpg", "next_meeting_viewer_url")</f>
        <v>next_meeting_viewer_url</v>
      </c>
      <c r="AC181" t="str">
        <f>HYPERLINK("https://images.diginfra.net/iiif/NL-HaNA_1.01.02/3801/NL-HaNA_1.01.02_3801_0341.jpg/3373,919,1086,2448/full/0/default.jpg", "next_meeting_iiif_url")</f>
        <v>next_meeting_iiif_url</v>
      </c>
    </row>
    <row r="182" spans="1:29" x14ac:dyDescent="0.2">
      <c r="A182" t="s">
        <v>825</v>
      </c>
      <c r="B182" t="s">
        <v>48</v>
      </c>
      <c r="C182" t="s">
        <v>826</v>
      </c>
      <c r="D182" t="b">
        <v>1</v>
      </c>
      <c r="E182" t="b">
        <v>1</v>
      </c>
      <c r="F182">
        <v>1</v>
      </c>
      <c r="I182" t="s">
        <v>827</v>
      </c>
      <c r="J182">
        <v>3798</v>
      </c>
      <c r="K182">
        <v>339</v>
      </c>
      <c r="L182">
        <v>379</v>
      </c>
      <c r="M182">
        <v>1230</v>
      </c>
      <c r="N182">
        <f t="shared" si="4"/>
        <v>678</v>
      </c>
      <c r="O182">
        <v>676</v>
      </c>
      <c r="P182">
        <v>0</v>
      </c>
      <c r="Q182">
        <v>1</v>
      </c>
      <c r="R182">
        <v>0</v>
      </c>
      <c r="S182" t="s">
        <v>33</v>
      </c>
      <c r="T182" t="str">
        <f>HYPERLINK("https://images.diginfra.net/framed3.html?imagesetuuid=c3e98c27-09b5-46e4-b19a-b811d240b059&amp;uri=https://images.diginfra.net/iiif/NL-HaNA_1.01.02/3798/NL-HaNA_1.01.02_3798_0339.jpg", "viewer_url")</f>
        <v>viewer_url</v>
      </c>
      <c r="U182" t="str">
        <f>HYPERLINK("https://images.diginfra.net/iiif/NL-HaNA_1.01.02/3798/NL-HaNA_1.01.02_3798_0339.jpg/379,1230,1090,2182/full/0/default.jpg", "iiif_url")</f>
        <v>iiif_url</v>
      </c>
      <c r="V182" t="s">
        <v>33</v>
      </c>
      <c r="W182" t="s">
        <v>828</v>
      </c>
      <c r="X182" t="str">
        <f>HYPERLINK("https://images.diginfra.net/framed3.html?imagesetuuid=c3e98c27-09b5-46e4-b19a-b811d240b059&amp;uri=https://images.diginfra.net/iiif/NL-HaNA_1.01.02/3798/NL-HaNA_1.01.02_3798_0338.jpg", "prev_meeting_viewer_url")</f>
        <v>prev_meeting_viewer_url</v>
      </c>
      <c r="Y182" t="str">
        <f>HYPERLINK("https://images.diginfra.net/iiif/NL-HaNA_1.01.02/3798/NL-HaNA_1.01.02_3798_0338.jpg/2419,342,1150,3137/full/0/default.jpg", "prev_meeting_iiif_url")</f>
        <v>prev_meeting_iiif_url</v>
      </c>
      <c r="Z182" t="s">
        <v>33</v>
      </c>
      <c r="AA182" t="s">
        <v>829</v>
      </c>
      <c r="AB182" t="str">
        <f>HYPERLINK("https://images.diginfra.net/framed3.html?imagesetuuid=c3e98c27-09b5-46e4-b19a-b811d240b059&amp;uri=https://images.diginfra.net/iiif/NL-HaNA_1.01.02/3798/NL-HaNA_1.01.02_3798_0340.jpg", "next_meeting_viewer_url")</f>
        <v>next_meeting_viewer_url</v>
      </c>
      <c r="AC182" t="str">
        <f>HYPERLINK("https://images.diginfra.net/iiif/NL-HaNA_1.01.02/3798/NL-HaNA_1.01.02_3798_0340.jpg/3379,1071,1092,2282/full/0/default.jpg", "next_meeting_iiif_url")</f>
        <v>next_meeting_iiif_url</v>
      </c>
    </row>
    <row r="183" spans="1:29" x14ac:dyDescent="0.2">
      <c r="A183" t="s">
        <v>830</v>
      </c>
      <c r="B183" t="s">
        <v>48</v>
      </c>
      <c r="C183" t="s">
        <v>831</v>
      </c>
      <c r="D183" t="b">
        <v>1</v>
      </c>
      <c r="E183" t="b">
        <v>1</v>
      </c>
      <c r="F183">
        <v>1</v>
      </c>
      <c r="I183" t="s">
        <v>832</v>
      </c>
      <c r="J183">
        <v>3828</v>
      </c>
      <c r="K183">
        <v>224</v>
      </c>
      <c r="L183">
        <v>1195</v>
      </c>
      <c r="M183">
        <v>1542</v>
      </c>
      <c r="N183">
        <f t="shared" si="4"/>
        <v>448</v>
      </c>
      <c r="O183">
        <v>446</v>
      </c>
      <c r="P183">
        <v>1</v>
      </c>
      <c r="Q183">
        <v>2</v>
      </c>
      <c r="R183">
        <v>0</v>
      </c>
      <c r="S183" t="s">
        <v>33</v>
      </c>
      <c r="T183" t="str">
        <f>HYPERLINK("https://images.diginfra.net/framed3.html?imagesetuuid=be73aab8-e683-41ef-8f90-2432e0a35eb8&amp;uri=https://images.diginfra.net/iiif/NL-HaNA_1.01.02/3828/NL-HaNA_1.01.02_3828_0224.jpg", "viewer_url")</f>
        <v>viewer_url</v>
      </c>
      <c r="U183" t="str">
        <f>HYPERLINK("https://images.diginfra.net/iiif/NL-HaNA_1.01.02/3828/NL-HaNA_1.01.02_3828_0224.jpg/1195,1542,1076,1788/full/0/default.jpg", "iiif_url")</f>
        <v>iiif_url</v>
      </c>
      <c r="V183" t="s">
        <v>33</v>
      </c>
      <c r="W183" t="s">
        <v>833</v>
      </c>
      <c r="X183" t="str">
        <f>HYPERLINK("https://images.diginfra.net/framed3.html?imagesetuuid=be73aab8-e683-41ef-8f90-2432e0a35eb8&amp;uri=https://images.diginfra.net/iiif/NL-HaNA_1.01.02/3828/NL-HaNA_1.01.02_3828_0223.jpg", "prev_meeting_viewer_url")</f>
        <v>prev_meeting_viewer_url</v>
      </c>
      <c r="Y183" t="str">
        <f>HYPERLINK("https://images.diginfra.net/iiif/NL-HaNA_1.01.02/3828/NL-HaNA_1.01.02_3828_0223.jpg/2360,1139,1010,1224/full/0/default.jpg", "prev_meeting_iiif_url")</f>
        <v>prev_meeting_iiif_url</v>
      </c>
      <c r="Z183" t="s">
        <v>33</v>
      </c>
      <c r="AA183" t="s">
        <v>834</v>
      </c>
      <c r="AB183" t="str">
        <f>HYPERLINK("https://images.diginfra.net/framed3.html?imagesetuuid=be73aab8-e683-41ef-8f90-2432e0a35eb8&amp;uri=https://images.diginfra.net/iiif/NL-HaNA_1.01.02/3828/NL-HaNA_1.01.02_3828_0228.jpg", "next_meeting_viewer_url")</f>
        <v>next_meeting_viewer_url</v>
      </c>
      <c r="AC183" t="str">
        <f>HYPERLINK("https://images.diginfra.net/iiif/NL-HaNA_1.01.02/3828/NL-HaNA_1.01.02_3828_0228.jpg/1250,2453,1029,811/full/0/default.jpg", "next_meeting_iiif_url")</f>
        <v>next_meeting_iiif_url</v>
      </c>
    </row>
    <row r="184" spans="1:29" x14ac:dyDescent="0.2">
      <c r="A184" t="s">
        <v>835</v>
      </c>
      <c r="B184" t="s">
        <v>85</v>
      </c>
      <c r="C184" t="s">
        <v>836</v>
      </c>
      <c r="D184" t="b">
        <v>1</v>
      </c>
      <c r="E184" t="b">
        <v>1</v>
      </c>
      <c r="F184">
        <v>1</v>
      </c>
      <c r="I184" t="s">
        <v>837</v>
      </c>
      <c r="J184">
        <v>3811</v>
      </c>
      <c r="K184">
        <v>115</v>
      </c>
      <c r="L184">
        <v>3355</v>
      </c>
      <c r="M184">
        <v>1652</v>
      </c>
      <c r="N184">
        <f t="shared" si="4"/>
        <v>230</v>
      </c>
      <c r="O184">
        <v>229</v>
      </c>
      <c r="P184">
        <v>1</v>
      </c>
      <c r="Q184">
        <v>2</v>
      </c>
      <c r="R184">
        <v>0</v>
      </c>
      <c r="S184" t="s">
        <v>33</v>
      </c>
      <c r="T184" t="str">
        <f>HYPERLINK("https://images.diginfra.net/framed3.html?imagesetuuid=f707f64c-15ec-4624-ba99-82cb83d16c2c&amp;uri=https://images.diginfra.net/iiif/NL-HaNA_1.01.02/3811/NL-HaNA_1.01.02_3811_0115.jpg", "viewer_url")</f>
        <v>viewer_url</v>
      </c>
      <c r="U184" t="str">
        <f>HYPERLINK("https://images.diginfra.net/iiif/NL-HaNA_1.01.02/3811/NL-HaNA_1.01.02_3811_0115.jpg/3355,1652,1102,1743/full/0/default.jpg", "iiif_url")</f>
        <v>iiif_url</v>
      </c>
      <c r="V184" t="s">
        <v>33</v>
      </c>
      <c r="W184" t="s">
        <v>838</v>
      </c>
      <c r="X184" t="str">
        <f>HYPERLINK("https://images.diginfra.net/framed3.html?imagesetuuid=f707f64c-15ec-4624-ba99-82cb83d16c2c&amp;uri=https://images.diginfra.net/iiif/NL-HaNA_1.01.02/3811/NL-HaNA_1.01.02_3811_0115.jpg", "prev_meeting_viewer_url")</f>
        <v>prev_meeting_viewer_url</v>
      </c>
      <c r="Y184" t="str">
        <f>HYPERLINK("https://images.diginfra.net/iiif/NL-HaNA_1.01.02/3811/NL-HaNA_1.01.02_3811_0115.jpg/1184,1317,1133,2147/full/0/default.jpg", "prev_meeting_iiif_url")</f>
        <v>prev_meeting_iiif_url</v>
      </c>
      <c r="Z184" t="s">
        <v>33</v>
      </c>
      <c r="AA184" t="s">
        <v>839</v>
      </c>
      <c r="AB184" t="str">
        <f>HYPERLINK("https://images.diginfra.net/framed3.html?imagesetuuid=f707f64c-15ec-4624-ba99-82cb83d16c2c&amp;uri=https://images.diginfra.net/iiif/NL-HaNA_1.01.02/3811/NL-HaNA_1.01.02_3811_0117.jpg", "next_meeting_viewer_url")</f>
        <v>next_meeting_viewer_url</v>
      </c>
      <c r="AC184" t="str">
        <f>HYPERLINK("https://images.diginfra.net/iiif/NL-HaNA_1.01.02/3811/NL-HaNA_1.01.02_3811_0117.jpg/1205,2182,1095,1190/full/0/default.jpg", "next_meeting_iiif_url")</f>
        <v>next_meeting_iiif_url</v>
      </c>
    </row>
    <row r="185" spans="1:29" x14ac:dyDescent="0.2">
      <c r="A185" t="s">
        <v>840</v>
      </c>
      <c r="B185" t="s">
        <v>59</v>
      </c>
      <c r="C185" t="s">
        <v>841</v>
      </c>
      <c r="D185" t="b">
        <v>1</v>
      </c>
      <c r="E185" t="b">
        <v>1</v>
      </c>
      <c r="F185">
        <v>1</v>
      </c>
      <c r="I185" t="s">
        <v>842</v>
      </c>
      <c r="J185">
        <v>3768</v>
      </c>
      <c r="K185">
        <v>484</v>
      </c>
      <c r="L185">
        <v>2483</v>
      </c>
      <c r="M185">
        <v>1595</v>
      </c>
      <c r="N185">
        <f t="shared" si="4"/>
        <v>968</v>
      </c>
      <c r="O185">
        <v>967</v>
      </c>
      <c r="P185">
        <v>0</v>
      </c>
      <c r="Q185">
        <v>2</v>
      </c>
      <c r="R185">
        <v>0</v>
      </c>
      <c r="S185" t="s">
        <v>33</v>
      </c>
      <c r="T185" t="str">
        <f>HYPERLINK("https://images.diginfra.net/framed3.html?imagesetuuid=1acf58b1-bf15-476d-be78-c088e43e81b9&amp;uri=https://images.diginfra.net/iiif/NL-HaNA_1.01.02/3768/NL-HaNA_1.01.02_3768_0484.jpg", "viewer_url")</f>
        <v>viewer_url</v>
      </c>
      <c r="U185" t="str">
        <f>HYPERLINK("https://images.diginfra.net/iiif/NL-HaNA_1.01.02/3768/NL-HaNA_1.01.02_3768_0484.jpg/2483,1595,1081,1737/full/0/default.jpg", "iiif_url")</f>
        <v>iiif_url</v>
      </c>
      <c r="V185" t="s">
        <v>33</v>
      </c>
      <c r="X185" t="str">
        <f>HYPERLINK("https://images.diginfra.net/framed3.html?imagesetuuid=1acf58b1-bf15-476d-be78-c088e43e81b9&amp;uri=https://images.diginfra.net/iiif/NL-HaNA_1.01.02/3768/NL-HaNA_1.01.02_3768_0482.jpg", "prev_meeting_viewer_url")</f>
        <v>prev_meeting_viewer_url</v>
      </c>
      <c r="Y185" t="str">
        <f>HYPERLINK("https://images.diginfra.net/iiif/NL-HaNA_1.01.02/3768/NL-HaNA_1.01.02_3768_0482.jpg/2474,333,1103,3049/full/0/default.jpg", "prev_meeting_iiif_url")</f>
        <v>prev_meeting_iiif_url</v>
      </c>
      <c r="Z185" t="s">
        <v>33</v>
      </c>
      <c r="AA185" t="s">
        <v>843</v>
      </c>
      <c r="AB185" t="str">
        <f>HYPERLINK("https://images.diginfra.net/framed3.html?imagesetuuid=1acf58b1-bf15-476d-be78-c088e43e81b9&amp;uri=https://images.diginfra.net/iiif/NL-HaNA_1.01.02/3768/NL-HaNA_1.01.02_3768_0486.jpg", "next_meeting_viewer_url")</f>
        <v>next_meeting_viewer_url</v>
      </c>
      <c r="AC185" t="str">
        <f>HYPERLINK("https://images.diginfra.net/iiif/NL-HaNA_1.01.02/3768/NL-HaNA_1.01.02_3768_0486.jpg/1364,2667,946,656/full/0/default.jpg", "next_meeting_iiif_url")</f>
        <v>next_meeting_iiif_url</v>
      </c>
    </row>
    <row r="186" spans="1:29" x14ac:dyDescent="0.2">
      <c r="A186" t="s">
        <v>844</v>
      </c>
      <c r="B186" t="s">
        <v>85</v>
      </c>
      <c r="C186" t="s">
        <v>845</v>
      </c>
      <c r="D186" t="b">
        <v>1</v>
      </c>
      <c r="E186" t="b">
        <v>1</v>
      </c>
      <c r="F186">
        <v>1</v>
      </c>
      <c r="I186" t="s">
        <v>846</v>
      </c>
      <c r="J186">
        <v>3818</v>
      </c>
      <c r="K186">
        <v>398</v>
      </c>
      <c r="L186">
        <v>274</v>
      </c>
      <c r="M186">
        <v>269</v>
      </c>
      <c r="N186">
        <f t="shared" si="4"/>
        <v>796</v>
      </c>
      <c r="O186">
        <v>794</v>
      </c>
      <c r="P186">
        <v>0</v>
      </c>
      <c r="Q186">
        <v>0</v>
      </c>
      <c r="R186">
        <v>0</v>
      </c>
      <c r="S186" t="s">
        <v>33</v>
      </c>
      <c r="T186" t="str">
        <f>HYPERLINK("https://images.diginfra.net/framed3.html?imagesetuuid=0a2b2b00-4d8f-4694-bcd4-866d49afa989&amp;uri=https://images.diginfra.net/iiif/NL-HaNA_1.01.02/3818/NL-HaNA_1.01.02_3818_0398.jpg", "viewer_url")</f>
        <v>viewer_url</v>
      </c>
      <c r="U186" t="str">
        <f>HYPERLINK("https://images.diginfra.net/iiif/NL-HaNA_1.01.02/3818/NL-HaNA_1.01.02_3818_0398.jpg/274,269,1118,3165/full/0/default.jpg", "iiif_url")</f>
        <v>iiif_url</v>
      </c>
      <c r="V186" t="s">
        <v>33</v>
      </c>
      <c r="W186" t="s">
        <v>847</v>
      </c>
      <c r="X186" t="str">
        <f>HYPERLINK("https://images.diginfra.net/framed3.html?imagesetuuid=0a2b2b00-4d8f-4694-bcd4-866d49afa989&amp;uri=https://images.diginfra.net/iiif/NL-HaNA_1.01.02/3818/NL-HaNA_1.01.02_3818_0397.jpg", "prev_meeting_viewer_url")</f>
        <v>prev_meeting_viewer_url</v>
      </c>
      <c r="Y186" t="str">
        <f>HYPERLINK("https://images.diginfra.net/iiif/NL-HaNA_1.01.02/3818/NL-HaNA_1.01.02_3818_0397.jpg/2320,1916,1100,1505/full/0/default.jpg", "prev_meeting_iiif_url")</f>
        <v>prev_meeting_iiif_url</v>
      </c>
      <c r="Z186" t="s">
        <v>33</v>
      </c>
      <c r="AA186" t="s">
        <v>848</v>
      </c>
      <c r="AB186" t="str">
        <f>HYPERLINK("https://images.diginfra.net/framed3.html?imagesetuuid=0a2b2b00-4d8f-4694-bcd4-866d49afa989&amp;uri=https://images.diginfra.net/iiif/NL-HaNA_1.01.02/3818/NL-HaNA_1.01.02_3818_0399.jpg", "next_meeting_viewer_url")</f>
        <v>next_meeting_viewer_url</v>
      </c>
      <c r="AC186" t="str">
        <f>HYPERLINK("https://images.diginfra.net/iiif/NL-HaNA_1.01.02/3818/NL-HaNA_1.01.02_3818_0399.jpg/2404,2649,1042,671/full/0/default.jpg", "next_meeting_iiif_url")</f>
        <v>next_meeting_iiif_url</v>
      </c>
    </row>
    <row r="187" spans="1:29" x14ac:dyDescent="0.2">
      <c r="A187" t="s">
        <v>849</v>
      </c>
      <c r="B187" t="s">
        <v>48</v>
      </c>
      <c r="C187" t="s">
        <v>850</v>
      </c>
      <c r="D187" t="b">
        <v>1</v>
      </c>
      <c r="E187" t="b">
        <v>1</v>
      </c>
      <c r="F187">
        <v>1</v>
      </c>
      <c r="I187" t="s">
        <v>851</v>
      </c>
      <c r="J187">
        <v>3834</v>
      </c>
      <c r="K187">
        <v>222</v>
      </c>
      <c r="L187">
        <v>1207</v>
      </c>
      <c r="M187">
        <v>415</v>
      </c>
      <c r="N187">
        <f t="shared" si="4"/>
        <v>444</v>
      </c>
      <c r="O187">
        <v>442</v>
      </c>
      <c r="P187">
        <v>1</v>
      </c>
      <c r="Q187">
        <v>0</v>
      </c>
      <c r="R187">
        <v>6</v>
      </c>
      <c r="S187" t="s">
        <v>44</v>
      </c>
      <c r="T187" t="str">
        <f>HYPERLINK("https://images.diginfra.net/framed3.html?imagesetuuid=bf11cd8e-e3f4-444c-9caa-dcdfd20137d7&amp;uri=https://images.diginfra.net/iiif/NL-HaNA_1.01.02/3834/NL-HaNA_1.01.02_3834_0222.jpg", "viewer_url")</f>
        <v>viewer_url</v>
      </c>
      <c r="U187" t="str">
        <f>HYPERLINK("https://images.diginfra.net/iiif/NL-HaNA_1.01.02/3834/NL-HaNA_1.01.02_3834_0222.jpg/1207,415,1094,2942/full/0/default.jpg", "iiif_url")</f>
        <v>iiif_url</v>
      </c>
      <c r="V187" t="s">
        <v>33</v>
      </c>
      <c r="W187" t="s">
        <v>852</v>
      </c>
      <c r="X187" t="str">
        <f>HYPERLINK("https://images.diginfra.net/framed3.html?imagesetuuid=bf11cd8e-e3f4-444c-9caa-dcdfd20137d7&amp;uri=https://images.diginfra.net/iiif/NL-HaNA_1.01.02/3834/NL-HaNA_1.01.02_3834_0220.jpg", "prev_meeting_viewer_url")</f>
        <v>prev_meeting_viewer_url</v>
      </c>
      <c r="Y187" t="str">
        <f>HYPERLINK("https://images.diginfra.net/iiif/NL-HaNA_1.01.02/3834/NL-HaNA_1.01.02_3834_0220.jpg/2399,2714,1022,756/full/0/default.jpg", "prev_meeting_iiif_url")</f>
        <v>prev_meeting_iiif_url</v>
      </c>
    </row>
    <row r="188" spans="1:29" x14ac:dyDescent="0.2">
      <c r="A188" t="s">
        <v>853</v>
      </c>
      <c r="B188" t="s">
        <v>79</v>
      </c>
      <c r="D188" t="b">
        <v>1</v>
      </c>
      <c r="E188" t="b">
        <v>1</v>
      </c>
      <c r="F188">
        <v>1</v>
      </c>
      <c r="J188">
        <v>3796</v>
      </c>
      <c r="K188">
        <v>352</v>
      </c>
      <c r="L188">
        <v>2555</v>
      </c>
      <c r="M188">
        <v>3098</v>
      </c>
      <c r="N188">
        <f t="shared" si="4"/>
        <v>704</v>
      </c>
      <c r="O188">
        <v>703</v>
      </c>
      <c r="P188">
        <v>0</v>
      </c>
      <c r="T188" t="str">
        <f>HYPERLINK("None", "viewer_url")</f>
        <v>viewer_url</v>
      </c>
      <c r="U188" t="str">
        <f>HYPERLINK("https://images.diginfra.net/iiif/NL-HaNA_1.01.02/3796/NL-HaNA_1.01.02_3796_0352.jpg/2555,3098,713,239/full/0/default.jpg", "iiif_url")</f>
        <v>iiif_url</v>
      </c>
      <c r="V188" t="s">
        <v>44</v>
      </c>
      <c r="W188" t="s">
        <v>535</v>
      </c>
      <c r="X188" t="str">
        <f>HYPERLINK("https://images.diginfra.net/framed3.html?imagesetuuid=ece8f80b-0549-4e73-82ff-af47ed8525ac&amp;uri=https://images.diginfra.net/iiif/NL-HaNA_1.01.02/3796/NL-HaNA_1.01.02_3796_0350.jpg", "prev_meeting_viewer_url")</f>
        <v>prev_meeting_viewer_url</v>
      </c>
      <c r="Y188" t="str">
        <f>HYPERLINK("https://images.diginfra.net/iiif/NL-HaNA_1.01.02/3796/NL-HaNA_1.01.02_3796_0350.jpg/290,1663,1082,1683/full/0/default.jpg", "prev_meeting_iiif_url")</f>
        <v>prev_meeting_iiif_url</v>
      </c>
      <c r="Z188" t="s">
        <v>33</v>
      </c>
      <c r="AA188" t="s">
        <v>854</v>
      </c>
      <c r="AB188" t="str">
        <f>HYPERLINK("https://images.diginfra.net/framed3.html?imagesetuuid=ece8f80b-0549-4e73-82ff-af47ed8525ac&amp;uri=https://images.diginfra.net/iiif/NL-HaNA_1.01.02/3796/NL-HaNA_1.01.02_3796_0354.jpg", "next_meeting_viewer_url")</f>
        <v>next_meeting_viewer_url</v>
      </c>
      <c r="AC188" t="str">
        <f>HYPERLINK("https://images.diginfra.net/iiif/NL-HaNA_1.01.02/3796/NL-HaNA_1.01.02_3796_0354.jpg/1221,1675,1104,1714/full/0/default.jpg", "next_meeting_iiif_url")</f>
        <v>next_meeting_iiif_url</v>
      </c>
    </row>
    <row r="189" spans="1:29" x14ac:dyDescent="0.2">
      <c r="A189" t="s">
        <v>855</v>
      </c>
      <c r="B189" t="s">
        <v>79</v>
      </c>
      <c r="C189" t="s">
        <v>856</v>
      </c>
      <c r="D189" t="b">
        <v>1</v>
      </c>
      <c r="E189" t="b">
        <v>1</v>
      </c>
      <c r="F189">
        <v>1</v>
      </c>
      <c r="I189" t="s">
        <v>857</v>
      </c>
      <c r="J189">
        <v>3830</v>
      </c>
      <c r="K189">
        <v>212</v>
      </c>
      <c r="L189">
        <v>2401</v>
      </c>
      <c r="M189">
        <v>451</v>
      </c>
      <c r="N189">
        <f t="shared" si="4"/>
        <v>424</v>
      </c>
      <c r="O189">
        <v>423</v>
      </c>
      <c r="P189">
        <v>0</v>
      </c>
      <c r="Q189">
        <v>1</v>
      </c>
      <c r="R189">
        <v>0</v>
      </c>
      <c r="S189" t="s">
        <v>33</v>
      </c>
      <c r="T189" t="str">
        <f>HYPERLINK("https://images.diginfra.net/framed3.html?imagesetuuid=c4957ef5-1023-495b-ad5d-bfab5967cb29&amp;uri=https://images.diginfra.net/iiif/NL-HaNA_1.01.02/3830/NL-HaNA_1.01.02_3830_0212.jpg", "viewer_url")</f>
        <v>viewer_url</v>
      </c>
      <c r="U189" t="str">
        <f>HYPERLINK("https://images.diginfra.net/iiif/NL-HaNA_1.01.02/3830/NL-HaNA_1.01.02_3830_0212.jpg/2401,451,1084,2795/full/0/default.jpg", "iiif_url")</f>
        <v>iiif_url</v>
      </c>
      <c r="V189" t="s">
        <v>33</v>
      </c>
      <c r="W189" t="s">
        <v>858</v>
      </c>
      <c r="X189" t="str">
        <f>HYPERLINK("https://images.diginfra.net/framed3.html?imagesetuuid=c4957ef5-1023-495b-ad5d-bfab5967cb29&amp;uri=https://images.diginfra.net/iiif/NL-HaNA_1.01.02/3830/NL-HaNA_1.01.02_3830_0211.jpg", "prev_meeting_viewer_url")</f>
        <v>prev_meeting_viewer_url</v>
      </c>
      <c r="Y189" t="str">
        <f>HYPERLINK("https://images.diginfra.net/iiif/NL-HaNA_1.01.02/3830/NL-HaNA_1.01.02_3830_0211.jpg/321,1403,1068,1906/full/0/default.jpg", "prev_meeting_iiif_url")</f>
        <v>prev_meeting_iiif_url</v>
      </c>
      <c r="Z189" t="s">
        <v>33</v>
      </c>
      <c r="AA189" t="s">
        <v>859</v>
      </c>
      <c r="AB189" t="str">
        <f>HYPERLINK("https://images.diginfra.net/framed3.html?imagesetuuid=c4957ef5-1023-495b-ad5d-bfab5967cb29&amp;uri=https://images.diginfra.net/iiif/NL-HaNA_1.01.02/3830/NL-HaNA_1.01.02_3830_0213.jpg", "next_meeting_viewer_url")</f>
        <v>next_meeting_viewer_url</v>
      </c>
      <c r="AC189" t="str">
        <f>HYPERLINK("https://images.diginfra.net/iiif/NL-HaNA_1.01.02/3830/NL-HaNA_1.01.02_3830_0213.jpg/2443,1679,1065,1671/full/0/default.jpg", "next_meeting_iiif_url")</f>
        <v>next_meeting_iiif_url</v>
      </c>
    </row>
    <row r="190" spans="1:29" x14ac:dyDescent="0.2">
      <c r="A190" t="s">
        <v>860</v>
      </c>
      <c r="B190" t="s">
        <v>63</v>
      </c>
      <c r="D190" t="b">
        <v>0</v>
      </c>
      <c r="E190" t="b">
        <v>0</v>
      </c>
      <c r="F190">
        <v>1</v>
      </c>
      <c r="G190">
        <v>1</v>
      </c>
      <c r="I190" t="s">
        <v>861</v>
      </c>
      <c r="J190">
        <v>3823</v>
      </c>
      <c r="K190">
        <v>422</v>
      </c>
      <c r="N190">
        <f t="shared" si="4"/>
        <v>844</v>
      </c>
      <c r="O190">
        <v>842</v>
      </c>
      <c r="P190">
        <v>0</v>
      </c>
      <c r="Q190">
        <v>0</v>
      </c>
      <c r="R190">
        <v>6</v>
      </c>
      <c r="S190" t="s">
        <v>33</v>
      </c>
      <c r="T190" t="str">
        <f>HYPERLINK("https://images.diginfra.net/framed3.html?imagesetuuid=08f55768-66d4-4560-816c-70f4ea910842&amp;uri=https://images.diginfra.net/iiif/NL-HaNA_1.01.02/3823/NL-HaNA_1.01.02_3823_0422.jpg", "viewer_url")</f>
        <v>viewer_url</v>
      </c>
      <c r="U190" t="str">
        <f>HYPERLINK("https://images.diginfra.net/iiif/NL-HaNA_1.01.02/3823/NL-HaNA_1.01.02_3823_0422.jpg/222,474,1160,2917/full/0/default.jpg", "iiif_url")</f>
        <v>iiif_url</v>
      </c>
      <c r="V190" t="s">
        <v>33</v>
      </c>
      <c r="W190" t="s">
        <v>862</v>
      </c>
      <c r="X190" t="str">
        <f>HYPERLINK("https://images.diginfra.net/framed3.html?imagesetuuid=08f55768-66d4-4560-816c-70f4ea910842&amp;uri=https://images.diginfra.net/iiif/NL-HaNA_1.01.02/3823/NL-HaNA_1.01.02_3823_0421.jpg", "prev_meeting_viewer_url")</f>
        <v>prev_meeting_viewer_url</v>
      </c>
      <c r="Y190" t="str">
        <f>HYPERLINK("https://images.diginfra.net/iiif/NL-HaNA_1.01.02/3823/NL-HaNA_1.01.02_3823_0421.jpg/1246,1173,1076,2246/full/0/default.jpg", "prev_meeting_iiif_url")</f>
        <v>prev_meeting_iiif_url</v>
      </c>
      <c r="Z190" t="s">
        <v>33</v>
      </c>
      <c r="AA190" t="s">
        <v>863</v>
      </c>
      <c r="AB190" t="str">
        <f>HYPERLINK("https://images.diginfra.net/framed3.html?imagesetuuid=08f55768-66d4-4560-816c-70f4ea910842&amp;uri=https://images.diginfra.net/iiif/NL-HaNA_1.01.02/3823/NL-HaNA_1.01.02_3823_0422.jpg", "next_meeting_viewer_url")</f>
        <v>next_meeting_viewer_url</v>
      </c>
      <c r="AC190" t="str">
        <f>HYPERLINK("https://images.diginfra.net/iiif/NL-HaNA_1.01.02/3823/NL-HaNA_1.01.02_3823_0422.jpg/222,474,1160,2917/full/0/default.jpg", "next_meeting_iiif_url")</f>
        <v>next_meeting_iiif_url</v>
      </c>
    </row>
    <row r="191" spans="1:29" x14ac:dyDescent="0.2">
      <c r="A191" t="s">
        <v>864</v>
      </c>
      <c r="B191" t="s">
        <v>37</v>
      </c>
      <c r="C191" t="s">
        <v>865</v>
      </c>
      <c r="D191" t="b">
        <v>1</v>
      </c>
      <c r="E191" t="b">
        <v>1</v>
      </c>
      <c r="F191">
        <v>1</v>
      </c>
      <c r="I191" t="s">
        <v>866</v>
      </c>
      <c r="J191">
        <v>3765</v>
      </c>
      <c r="K191">
        <v>222</v>
      </c>
      <c r="L191">
        <v>257</v>
      </c>
      <c r="M191">
        <v>1224</v>
      </c>
      <c r="N191">
        <f t="shared" si="4"/>
        <v>444</v>
      </c>
      <c r="O191">
        <v>442</v>
      </c>
      <c r="P191">
        <v>0</v>
      </c>
      <c r="Q191">
        <v>2</v>
      </c>
      <c r="R191">
        <v>0</v>
      </c>
      <c r="S191" t="s">
        <v>33</v>
      </c>
      <c r="T191" t="str">
        <f>HYPERLINK("https://images.diginfra.net/framed3.html?imagesetuuid=4dfc1a1b-8cdf-4492-b411-5e67950ce484&amp;uri=https://images.diginfra.net/iiif/NL-HaNA_1.01.02/3765/NL-HaNA_1.01.02_3765_0222.jpg", "viewer_url")</f>
        <v>viewer_url</v>
      </c>
      <c r="U191" t="str">
        <f>HYPERLINK("https://images.diginfra.net/iiif/NL-HaNA_1.01.02/3765/NL-HaNA_1.01.02_3765_0222.jpg/257,1224,1101,2207/full/0/default.jpg", "iiif_url")</f>
        <v>iiif_url</v>
      </c>
      <c r="V191" t="s">
        <v>33</v>
      </c>
      <c r="X191" t="str">
        <f>HYPERLINK("https://images.diginfra.net/framed3.html?imagesetuuid=4dfc1a1b-8cdf-4492-b411-5e67950ce484&amp;uri=https://images.diginfra.net/iiif/NL-HaNA_1.01.02/3765/NL-HaNA_1.01.02_3765_0217.jpg", "prev_meeting_viewer_url")</f>
        <v>prev_meeting_viewer_url</v>
      </c>
      <c r="Y191" t="str">
        <f>HYPERLINK("https://images.diginfra.net/iiif/NL-HaNA_1.01.02/3765/NL-HaNA_1.01.02_3765_0217.jpg/2397,328,1114,3089/full/0/default.jpg", "prev_meeting_iiif_url")</f>
        <v>prev_meeting_iiif_url</v>
      </c>
      <c r="Z191" t="s">
        <v>33</v>
      </c>
      <c r="AA191" t="s">
        <v>867</v>
      </c>
      <c r="AB191" t="str">
        <f>HYPERLINK("https://images.diginfra.net/framed3.html?imagesetuuid=4dfc1a1b-8cdf-4492-b411-5e67950ce484&amp;uri=https://images.diginfra.net/iiif/NL-HaNA_1.01.02/3765/NL-HaNA_1.01.02_3765_0224.jpg", "next_meeting_viewer_url")</f>
        <v>next_meeting_viewer_url</v>
      </c>
      <c r="AC191" t="str">
        <f>HYPERLINK("https://images.diginfra.net/iiif/NL-HaNA_1.01.02/3765/NL-HaNA_1.01.02_3765_0224.jpg/286,2723,1064,652/full/0/default.jpg", "next_meeting_iiif_url")</f>
        <v>next_meeting_iiif_url</v>
      </c>
    </row>
    <row r="192" spans="1:29" x14ac:dyDescent="0.2">
      <c r="A192" t="s">
        <v>868</v>
      </c>
      <c r="B192" t="s">
        <v>37</v>
      </c>
      <c r="C192" t="s">
        <v>869</v>
      </c>
      <c r="D192" t="b">
        <v>1</v>
      </c>
      <c r="E192" t="b">
        <v>1</v>
      </c>
      <c r="F192">
        <v>1</v>
      </c>
      <c r="I192" t="s">
        <v>870</v>
      </c>
      <c r="J192">
        <v>3851</v>
      </c>
      <c r="K192">
        <v>23</v>
      </c>
      <c r="L192">
        <v>3394</v>
      </c>
      <c r="M192">
        <v>354</v>
      </c>
      <c r="N192">
        <f t="shared" si="4"/>
        <v>46</v>
      </c>
      <c r="O192">
        <v>45</v>
      </c>
      <c r="P192">
        <v>1</v>
      </c>
      <c r="Q192">
        <v>0</v>
      </c>
      <c r="R192">
        <v>0</v>
      </c>
      <c r="S192" t="s">
        <v>33</v>
      </c>
      <c r="T192" t="str">
        <f>HYPERLINK("https://images.diginfra.net/framed3.html?imagesetuuid=27660c50-4382-4d81-bab3-9b18ce5e4c3c&amp;uri=https://images.diginfra.net/iiif/NL-HaNA_1.01.02/3851/NL-HaNA_1.01.02_3851_0023.jpg", "viewer_url")</f>
        <v>viewer_url</v>
      </c>
      <c r="U192" t="str">
        <f>HYPERLINK("https://images.diginfra.net/iiif/NL-HaNA_1.01.02/3851/NL-HaNA_1.01.02_3851_0023.jpg/3394,354,1086,3115/full/0/default.jpg", "iiif_url")</f>
        <v>iiif_url</v>
      </c>
      <c r="V192" t="s">
        <v>33</v>
      </c>
      <c r="W192" t="s">
        <v>871</v>
      </c>
      <c r="X192" t="str">
        <f>HYPERLINK("https://images.diginfra.net/framed3.html?imagesetuuid=27660c50-4382-4d81-bab3-9b18ce5e4c3c&amp;uri=https://images.diginfra.net/iiif/NL-HaNA_1.01.02/3851/NL-HaNA_1.01.02_3851_0017.jpg", "prev_meeting_viewer_url")</f>
        <v>prev_meeting_viewer_url</v>
      </c>
      <c r="Y192" t="str">
        <f>HYPERLINK("https://images.diginfra.net/iiif/NL-HaNA_1.01.02/3851/NL-HaNA_1.01.02_3851_0017.jpg/2520,2396,1015,1038/full/0/default.jpg", "prev_meeting_iiif_url")</f>
        <v>prev_meeting_iiif_url</v>
      </c>
      <c r="Z192" t="s">
        <v>33</v>
      </c>
      <c r="AA192" t="s">
        <v>872</v>
      </c>
      <c r="AB192" t="str">
        <f>HYPERLINK("https://images.diginfra.net/framed3.html?imagesetuuid=27660c50-4382-4d81-bab3-9b18ce5e4c3c&amp;uri=https://images.diginfra.net/iiif/NL-HaNA_1.01.02/3851/NL-HaNA_1.01.02_3851_0024.jpg", "next_meeting_viewer_url")</f>
        <v>next_meeting_viewer_url</v>
      </c>
      <c r="AC192" t="str">
        <f>HYPERLINK("https://images.diginfra.net/iiif/NL-HaNA_1.01.02/3851/NL-HaNA_1.01.02_3851_0024.jpg/1517,2915,751,503/full/0/default.jpg", "next_meeting_iiif_url")</f>
        <v>next_meeting_iiif_url</v>
      </c>
    </row>
    <row r="193" spans="1:29" x14ac:dyDescent="0.2">
      <c r="A193" t="s">
        <v>873</v>
      </c>
      <c r="B193" t="s">
        <v>48</v>
      </c>
      <c r="C193" t="s">
        <v>874</v>
      </c>
      <c r="D193" t="b">
        <v>1</v>
      </c>
      <c r="E193" t="b">
        <v>1</v>
      </c>
      <c r="F193">
        <v>1</v>
      </c>
      <c r="I193" t="s">
        <v>875</v>
      </c>
      <c r="J193">
        <v>3852</v>
      </c>
      <c r="K193">
        <v>280</v>
      </c>
      <c r="L193">
        <v>3378</v>
      </c>
      <c r="M193">
        <v>2554</v>
      </c>
      <c r="N193">
        <f t="shared" si="4"/>
        <v>560</v>
      </c>
      <c r="O193">
        <v>559</v>
      </c>
      <c r="P193">
        <v>1</v>
      </c>
      <c r="Q193">
        <v>2</v>
      </c>
      <c r="R193">
        <v>0</v>
      </c>
      <c r="S193" t="s">
        <v>33</v>
      </c>
      <c r="T193" t="str">
        <f>HYPERLINK("https://images.diginfra.net/framed3.html?imagesetuuid=3b3d915a-84ba-4c76-9942-747a007cc965&amp;uri=https://images.diginfra.net/iiif/NL-HaNA_1.01.02/3852/NL-HaNA_1.01.02_3852_0280.jpg", "viewer_url")</f>
        <v>viewer_url</v>
      </c>
      <c r="U193" t="str">
        <f>HYPERLINK("https://images.diginfra.net/iiif/NL-HaNA_1.01.02/3852/NL-HaNA_1.01.02_3852_0280.jpg/3378,2554,875,808/full/0/default.jpg", "iiif_url")</f>
        <v>iiif_url</v>
      </c>
      <c r="V193" t="s">
        <v>33</v>
      </c>
      <c r="W193" t="s">
        <v>876</v>
      </c>
      <c r="X193" t="str">
        <f>HYPERLINK("https://images.diginfra.net/framed3.html?imagesetuuid=3b3d915a-84ba-4c76-9942-747a007cc965&amp;uri=https://images.diginfra.net/iiif/NL-HaNA_1.01.02/3852/NL-HaNA_1.01.02_3852_0277.jpg", "prev_meeting_viewer_url")</f>
        <v>prev_meeting_viewer_url</v>
      </c>
      <c r="Y193" t="str">
        <f>HYPERLINK("https://images.diginfra.net/iiif/NL-HaNA_1.01.02/3852/NL-HaNA_1.01.02_3852_0277.jpg/2433,2295,1012,1142/full/0/default.jpg", "prev_meeting_iiif_url")</f>
        <v>prev_meeting_iiif_url</v>
      </c>
      <c r="Z193" t="s">
        <v>33</v>
      </c>
      <c r="AA193" t="s">
        <v>877</v>
      </c>
      <c r="AB193" t="str">
        <f>HYPERLINK("https://images.diginfra.net/framed3.html?imagesetuuid=3b3d915a-84ba-4c76-9942-747a007cc965&amp;uri=https://images.diginfra.net/iiif/NL-HaNA_1.01.02/3852/NL-HaNA_1.01.02_3852_0282.jpg", "next_meeting_viewer_url")</f>
        <v>next_meeting_viewer_url</v>
      </c>
      <c r="AC193" t="str">
        <f>HYPERLINK("https://images.diginfra.net/iiif/NL-HaNA_1.01.02/3852/NL-HaNA_1.01.02_3852_0282.jpg/3323,686,1073,2755/full/0/default.jpg", "next_meeting_iiif_url")</f>
        <v>next_meeting_iiif_url</v>
      </c>
    </row>
    <row r="194" spans="1:29" x14ac:dyDescent="0.2">
      <c r="A194" t="s">
        <v>878</v>
      </c>
      <c r="B194" t="s">
        <v>85</v>
      </c>
      <c r="D194" t="b">
        <v>1</v>
      </c>
      <c r="E194" t="b">
        <v>1</v>
      </c>
      <c r="F194">
        <v>1</v>
      </c>
      <c r="J194">
        <v>3824</v>
      </c>
      <c r="K194">
        <v>478</v>
      </c>
      <c r="L194">
        <v>2434</v>
      </c>
      <c r="M194">
        <v>977</v>
      </c>
      <c r="N194">
        <f t="shared" ref="N194:N257" si="5">K194*2</f>
        <v>956</v>
      </c>
      <c r="O194">
        <v>955</v>
      </c>
      <c r="P194">
        <v>0</v>
      </c>
      <c r="T194" t="str">
        <f>HYPERLINK("None", "viewer_url")</f>
        <v>viewer_url</v>
      </c>
      <c r="U194" t="str">
        <f>HYPERLINK("https://images.diginfra.net/iiif/NL-HaNA_1.01.02/3824/NL-HaNA_1.01.02_3824_0478.jpg/2434,977,894,2316/full/0/default.jpg", "iiif_url")</f>
        <v>iiif_url</v>
      </c>
      <c r="V194" t="s">
        <v>44</v>
      </c>
      <c r="X194" t="str">
        <f>HYPERLINK("https://images.diginfra.net/framed3.html?imagesetuuid=dd191040-86df-4eff-a597-814a829dbed3&amp;uri=https://images.diginfra.net/iiif/NL-HaNA_1.01.02/3824/NL-HaNA_1.01.02_3824_0478.jpg", "prev_meeting_viewer_url")</f>
        <v>prev_meeting_viewer_url</v>
      </c>
      <c r="Y194" t="str">
        <f>HYPERLINK("https://images.diginfra.net/iiif/NL-HaNA_1.01.02/3824/NL-HaNA_1.01.02_3824_0478.jpg/2327,938,1090,2451/full/0/default.jpg", "prev_meeting_iiif_url")</f>
        <v>prev_meeting_iiif_url</v>
      </c>
      <c r="Z194" t="s">
        <v>33</v>
      </c>
      <c r="AA194" t="s">
        <v>339</v>
      </c>
      <c r="AB194" t="str">
        <f>HYPERLINK("https://images.diginfra.net/framed3.html?imagesetuuid=dd191040-86df-4eff-a597-814a829dbed3&amp;uri=https://images.diginfra.net/iiif/NL-HaNA_1.01.02/3824/NL-HaNA_1.01.02_3824_0479.jpg", "next_meeting_viewer_url")</f>
        <v>next_meeting_viewer_url</v>
      </c>
      <c r="AC194" t="str">
        <f>HYPERLINK("https://images.diginfra.net/iiif/NL-HaNA_1.01.02/3824/NL-HaNA_1.01.02_3824_0479.jpg/3299,1111,1086,2256/full/0/default.jpg", "next_meeting_iiif_url")</f>
        <v>next_meeting_iiif_url</v>
      </c>
    </row>
    <row r="195" spans="1:29" x14ac:dyDescent="0.2">
      <c r="A195" t="s">
        <v>879</v>
      </c>
      <c r="B195" t="s">
        <v>48</v>
      </c>
      <c r="C195" t="s">
        <v>314</v>
      </c>
      <c r="D195" t="b">
        <v>1</v>
      </c>
      <c r="E195" t="b">
        <v>1</v>
      </c>
      <c r="F195">
        <v>1</v>
      </c>
      <c r="I195" t="s">
        <v>880</v>
      </c>
      <c r="J195">
        <v>3834</v>
      </c>
      <c r="K195">
        <v>390</v>
      </c>
      <c r="L195">
        <v>2388</v>
      </c>
      <c r="M195">
        <v>519</v>
      </c>
      <c r="N195">
        <f t="shared" si="5"/>
        <v>780</v>
      </c>
      <c r="O195">
        <v>779</v>
      </c>
      <c r="P195">
        <v>0</v>
      </c>
      <c r="Q195">
        <v>1</v>
      </c>
      <c r="R195">
        <v>0</v>
      </c>
      <c r="S195" t="s">
        <v>33</v>
      </c>
      <c r="T195" t="str">
        <f>HYPERLINK("https://images.diginfra.net/framed3.html?imagesetuuid=bf11cd8e-e3f4-444c-9caa-dcdfd20137d7&amp;uri=https://images.diginfra.net/iiif/NL-HaNA_1.01.02/3834/NL-HaNA_1.01.02_3834_0390.jpg", "viewer_url")</f>
        <v>viewer_url</v>
      </c>
      <c r="U195" t="str">
        <f>HYPERLINK("https://images.diginfra.net/iiif/NL-HaNA_1.01.02/3834/NL-HaNA_1.01.02_3834_0390.jpg/2388,519,1095,2896/full/0/default.jpg", "iiif_url")</f>
        <v>iiif_url</v>
      </c>
      <c r="V195" t="s">
        <v>33</v>
      </c>
      <c r="W195" t="s">
        <v>881</v>
      </c>
      <c r="X195" t="str">
        <f>HYPERLINK("https://images.diginfra.net/framed3.html?imagesetuuid=bf11cd8e-e3f4-444c-9caa-dcdfd20137d7&amp;uri=https://images.diginfra.net/iiif/NL-HaNA_1.01.02/3834/NL-HaNA_1.01.02_3834_0389.jpg", "prev_meeting_viewer_url")</f>
        <v>prev_meeting_viewer_url</v>
      </c>
      <c r="Y195" t="str">
        <f>HYPERLINK("https://images.diginfra.net/iiif/NL-HaNA_1.01.02/3834/NL-HaNA_1.01.02_3834_0389.jpg/281,2694,1057,647/full/0/default.jpg", "prev_meeting_iiif_url")</f>
        <v>prev_meeting_iiif_url</v>
      </c>
      <c r="Z195" t="s">
        <v>33</v>
      </c>
      <c r="AA195" t="s">
        <v>312</v>
      </c>
      <c r="AB195" t="str">
        <f>HYPERLINK("https://images.diginfra.net/framed3.html?imagesetuuid=bf11cd8e-e3f4-444c-9caa-dcdfd20137d7&amp;uri=https://images.diginfra.net/iiif/NL-HaNA_1.01.02/3834/NL-HaNA_1.01.02_3834_0394.jpg", "next_meeting_viewer_url")</f>
        <v>next_meeting_viewer_url</v>
      </c>
      <c r="AC195" t="str">
        <f>HYPERLINK("https://images.diginfra.net/iiif/NL-HaNA_1.01.02/3834/NL-HaNA_1.01.02_3834_0394.jpg/2470,2837,863,497/full/0/default.jpg", "next_meeting_iiif_url")</f>
        <v>next_meeting_iiif_url</v>
      </c>
    </row>
    <row r="196" spans="1:29" x14ac:dyDescent="0.2">
      <c r="A196" t="s">
        <v>882</v>
      </c>
      <c r="B196" t="s">
        <v>63</v>
      </c>
      <c r="D196" t="b">
        <v>0</v>
      </c>
      <c r="E196" t="b">
        <v>1</v>
      </c>
      <c r="F196">
        <v>0</v>
      </c>
      <c r="G196">
        <v>1</v>
      </c>
      <c r="I196" t="s">
        <v>883</v>
      </c>
      <c r="J196">
        <v>3768</v>
      </c>
      <c r="K196">
        <v>30</v>
      </c>
      <c r="N196">
        <f t="shared" si="5"/>
        <v>60</v>
      </c>
      <c r="O196">
        <v>59</v>
      </c>
      <c r="P196">
        <v>0</v>
      </c>
      <c r="Q196">
        <v>0</v>
      </c>
      <c r="R196">
        <v>0</v>
      </c>
      <c r="S196" t="s">
        <v>33</v>
      </c>
      <c r="T196" t="str">
        <f>HYPERLINK("https://images.diginfra.net/framed3.html?imagesetuuid=1acf58b1-bf15-476d-be78-c088e43e81b9&amp;uri=https://images.diginfra.net/iiif/NL-HaNA_1.01.02/3768/NL-HaNA_1.01.02_3768_0030.jpg", "viewer_url")</f>
        <v>viewer_url</v>
      </c>
      <c r="U196" t="str">
        <f>HYPERLINK("https://images.diginfra.net/iiif/NL-HaNA_1.01.02/3768/NL-HaNA_1.01.02_3768_0030.jpg/2521,2904,287,311/full/0/default.jpg", "iiif_url")</f>
        <v>iiif_url</v>
      </c>
      <c r="V196" t="s">
        <v>33</v>
      </c>
      <c r="W196" t="s">
        <v>884</v>
      </c>
      <c r="X196" t="str">
        <f>HYPERLINK("https://images.diginfra.net/framed3.html?imagesetuuid=1dfc3e45-daeb-4e8d-b5c8-e02b6196102c&amp;uri=https://images.diginfra.net/iiif/NL-HaNA_1.01.02/3767/NL-HaNA_1.01.02_3767_0750.jpg", "prev_meeting_viewer_url")</f>
        <v>prev_meeting_viewer_url</v>
      </c>
      <c r="Y196" t="str">
        <f>HYPERLINK("https://images.diginfra.net/iiif/NL-HaNA_1.01.02/3767/NL-HaNA_1.01.02_3767_0750.jpg/334,2802,1035,616/full/0/default.jpg", "prev_meeting_iiif_url")</f>
        <v>prev_meeting_iiif_url</v>
      </c>
      <c r="Z196" t="s">
        <v>33</v>
      </c>
      <c r="AA196" t="s">
        <v>885</v>
      </c>
      <c r="AB196" t="str">
        <f>HYPERLINK("https://images.diginfra.net/framed3.html?imagesetuuid=1acf58b1-bf15-476d-be78-c088e43e81b9&amp;uri=https://images.diginfra.net/iiif/NL-HaNA_1.01.02/3768/NL-HaNA_1.01.02_3768_0030.jpg", "next_meeting_viewer_url")</f>
        <v>next_meeting_viewer_url</v>
      </c>
      <c r="AC196" t="str">
        <f>HYPERLINK("https://images.diginfra.net/iiif/NL-HaNA_1.01.02/3768/NL-HaNA_1.01.02_3768_0030.jpg/2554,1643,1066,1748/full/0/default.jpg", "next_meeting_iiif_url")</f>
        <v>next_meeting_iiif_url</v>
      </c>
    </row>
    <row r="197" spans="1:29" x14ac:dyDescent="0.2">
      <c r="A197" t="s">
        <v>886</v>
      </c>
      <c r="B197" t="s">
        <v>79</v>
      </c>
      <c r="C197" t="s">
        <v>887</v>
      </c>
      <c r="D197" t="b">
        <v>1</v>
      </c>
      <c r="E197" t="b">
        <v>1</v>
      </c>
      <c r="F197">
        <v>1</v>
      </c>
      <c r="I197" t="s">
        <v>888</v>
      </c>
      <c r="J197">
        <v>3769</v>
      </c>
      <c r="K197">
        <v>397</v>
      </c>
      <c r="L197">
        <v>2500</v>
      </c>
      <c r="M197">
        <v>1027</v>
      </c>
      <c r="N197">
        <f t="shared" si="5"/>
        <v>794</v>
      </c>
      <c r="O197">
        <v>793</v>
      </c>
      <c r="P197">
        <v>0</v>
      </c>
      <c r="Q197">
        <v>1</v>
      </c>
      <c r="R197">
        <v>0</v>
      </c>
      <c r="S197" t="s">
        <v>33</v>
      </c>
      <c r="T197" t="str">
        <f>HYPERLINK("https://images.diginfra.net/framed3.html?imagesetuuid=bb249823-a699-4b97-863d-a74b3ce499f0&amp;uri=https://images.diginfra.net/iiif/NL-HaNA_1.01.02/3769/NL-HaNA_1.01.02_3769_0397.jpg", "viewer_url")</f>
        <v>viewer_url</v>
      </c>
      <c r="U197" t="str">
        <f>HYPERLINK("https://images.diginfra.net/iiif/NL-HaNA_1.01.02/3769/NL-HaNA_1.01.02_3769_0397.jpg/2500,1027,1104,2401/full/0/default.jpg", "iiif_url")</f>
        <v>iiif_url</v>
      </c>
      <c r="V197" t="s">
        <v>33</v>
      </c>
      <c r="W197" t="s">
        <v>889</v>
      </c>
      <c r="X197" t="str">
        <f>HYPERLINK("https://images.diginfra.net/framed3.html?imagesetuuid=bb249823-a699-4b97-863d-a74b3ce499f0&amp;uri=https://images.diginfra.net/iiif/NL-HaNA_1.01.02/3769/NL-HaNA_1.01.02_3769_0396.jpg", "prev_meeting_viewer_url")</f>
        <v>prev_meeting_viewer_url</v>
      </c>
      <c r="Y197" t="str">
        <f>HYPERLINK("https://images.diginfra.net/iiif/NL-HaNA_1.01.02/3769/NL-HaNA_1.01.02_3769_0396.jpg/1243,777,1115,2635/full/0/default.jpg", "prev_meeting_iiif_url")</f>
        <v>prev_meeting_iiif_url</v>
      </c>
      <c r="Z197" t="s">
        <v>33</v>
      </c>
      <c r="AA197" t="s">
        <v>890</v>
      </c>
      <c r="AB197" t="str">
        <f>HYPERLINK("https://images.diginfra.net/framed3.html?imagesetuuid=bb249823-a699-4b97-863d-a74b3ce499f0&amp;uri=https://images.diginfra.net/iiif/NL-HaNA_1.01.02/3769/NL-HaNA_1.01.02_3769_0400.jpg", "next_meeting_viewer_url")</f>
        <v>next_meeting_viewer_url</v>
      </c>
      <c r="AC197" t="str">
        <f>HYPERLINK("https://images.diginfra.net/iiif/NL-HaNA_1.01.02/3769/NL-HaNA_1.01.02_3769_0400.jpg/344,1015,1100,2389/full/0/default.jpg", "next_meeting_iiif_url")</f>
        <v>next_meeting_iiif_url</v>
      </c>
    </row>
    <row r="198" spans="1:29" x14ac:dyDescent="0.2">
      <c r="A198" t="s">
        <v>891</v>
      </c>
      <c r="B198" t="s">
        <v>79</v>
      </c>
      <c r="C198" t="s">
        <v>892</v>
      </c>
      <c r="D198" t="b">
        <v>1</v>
      </c>
      <c r="E198" t="b">
        <v>1</v>
      </c>
      <c r="F198">
        <v>1</v>
      </c>
      <c r="I198" t="s">
        <v>893</v>
      </c>
      <c r="J198">
        <v>3773</v>
      </c>
      <c r="K198">
        <v>166</v>
      </c>
      <c r="L198">
        <v>3277</v>
      </c>
      <c r="M198">
        <v>303</v>
      </c>
      <c r="N198">
        <f t="shared" si="5"/>
        <v>332</v>
      </c>
      <c r="O198">
        <v>331</v>
      </c>
      <c r="P198">
        <v>1</v>
      </c>
      <c r="Q198">
        <v>0</v>
      </c>
      <c r="R198">
        <v>0</v>
      </c>
      <c r="S198" t="s">
        <v>33</v>
      </c>
      <c r="T198" t="str">
        <f>HYPERLINK("https://images.diginfra.net/framed3.html?imagesetuuid=0d0ede5e-a7f6-4a03-b996-493e50528c24&amp;uri=https://images.diginfra.net/iiif/NL-HaNA_1.01.02/3773/NL-HaNA_1.01.02_3773_0166.jpg", "viewer_url")</f>
        <v>viewer_url</v>
      </c>
      <c r="U198" t="str">
        <f>HYPERLINK("https://images.diginfra.net/iiif/NL-HaNA_1.01.02/3773/NL-HaNA_1.01.02_3773_0166.jpg/3277,303,1101,3116/full/0/default.jpg", "iiif_url")</f>
        <v>iiif_url</v>
      </c>
      <c r="V198" t="s">
        <v>33</v>
      </c>
      <c r="W198" t="s">
        <v>894</v>
      </c>
      <c r="X198" t="str">
        <f>HYPERLINK("https://images.diginfra.net/framed3.html?imagesetuuid=0d0ede5e-a7f6-4a03-b996-493e50528c24&amp;uri=https://images.diginfra.net/iiif/NL-HaNA_1.01.02/3773/NL-HaNA_1.01.02_3773_0164.jpg", "prev_meeting_viewer_url")</f>
        <v>prev_meeting_viewer_url</v>
      </c>
      <c r="Y198" t="str">
        <f>HYPERLINK("https://images.diginfra.net/iiif/NL-HaNA_1.01.02/3773/NL-HaNA_1.01.02_3773_0164.jpg/3381,2749,1027,647/full/0/default.jpg", "prev_meeting_iiif_url")</f>
        <v>prev_meeting_iiif_url</v>
      </c>
      <c r="Z198" t="s">
        <v>33</v>
      </c>
      <c r="AA198" t="s">
        <v>895</v>
      </c>
      <c r="AB198" t="str">
        <f>HYPERLINK("https://images.diginfra.net/framed3.html?imagesetuuid=0d0ede5e-a7f6-4a03-b996-493e50528c24&amp;uri=https://images.diginfra.net/iiif/NL-HaNA_1.01.02/3773/NL-HaNA_1.01.02_3773_0168.jpg", "next_meeting_viewer_url")</f>
        <v>next_meeting_viewer_url</v>
      </c>
      <c r="AC198" t="str">
        <f>HYPERLINK("https://images.diginfra.net/iiif/NL-HaNA_1.01.02/3773/NL-HaNA_1.01.02_3773_0168.jpg/3360,2232,1037,1072/full/0/default.jpg", "next_meeting_iiif_url")</f>
        <v>next_meeting_iiif_url</v>
      </c>
    </row>
    <row r="199" spans="1:29" x14ac:dyDescent="0.2">
      <c r="A199" t="s">
        <v>896</v>
      </c>
      <c r="B199" t="s">
        <v>85</v>
      </c>
      <c r="C199" t="s">
        <v>897</v>
      </c>
      <c r="D199" t="b">
        <v>1</v>
      </c>
      <c r="E199" t="b">
        <v>1</v>
      </c>
      <c r="F199">
        <v>1</v>
      </c>
      <c r="I199" t="s">
        <v>898</v>
      </c>
      <c r="J199">
        <v>3766</v>
      </c>
      <c r="K199">
        <v>691</v>
      </c>
      <c r="L199">
        <v>1301</v>
      </c>
      <c r="M199">
        <v>1064</v>
      </c>
      <c r="N199">
        <f t="shared" si="5"/>
        <v>1382</v>
      </c>
      <c r="O199">
        <v>1380</v>
      </c>
      <c r="P199">
        <v>1</v>
      </c>
      <c r="Q199">
        <v>2</v>
      </c>
      <c r="R199">
        <v>0</v>
      </c>
      <c r="S199" t="s">
        <v>33</v>
      </c>
      <c r="T199" t="str">
        <f>HYPERLINK("https://images.diginfra.net/framed3.html?imagesetuuid=a6b973ba-587c-4902-9423-42544f6e97a0&amp;uri=https://images.diginfra.net/iiif/NL-HaNA_1.01.02/3766/NL-HaNA_1.01.02_3766_0691.jpg", "viewer_url")</f>
        <v>viewer_url</v>
      </c>
      <c r="U199" t="str">
        <f>HYPERLINK("https://images.diginfra.net/iiif/NL-HaNA_1.01.02/3766/NL-HaNA_1.01.02_3766_0691.jpg/1301,1064,1126,2377/full/0/default.jpg", "iiif_url")</f>
        <v>iiif_url</v>
      </c>
      <c r="V199" t="s">
        <v>33</v>
      </c>
      <c r="W199" t="s">
        <v>899</v>
      </c>
      <c r="X199" t="str">
        <f>HYPERLINK("https://images.diginfra.net/framed3.html?imagesetuuid=a6b973ba-587c-4902-9423-42544f6e97a0&amp;uri=https://images.diginfra.net/iiif/NL-HaNA_1.01.02/3766/NL-HaNA_1.01.02_3766_0687.jpg", "prev_meeting_viewer_url")</f>
        <v>prev_meeting_viewer_url</v>
      </c>
      <c r="Y199" t="str">
        <f>HYPERLINK("https://images.diginfra.net/iiif/NL-HaNA_1.01.02/3766/NL-HaNA_1.01.02_3766_0687.jpg/1290,701,1131,2664/full/0/default.jpg", "prev_meeting_iiif_url")</f>
        <v>prev_meeting_iiif_url</v>
      </c>
      <c r="Z199" t="s">
        <v>33</v>
      </c>
      <c r="AA199" t="s">
        <v>900</v>
      </c>
      <c r="AB199" t="str">
        <f>HYPERLINK("https://images.diginfra.net/framed3.html?imagesetuuid=a6b973ba-587c-4902-9423-42544f6e97a0&amp;uri=https://images.diginfra.net/iiif/NL-HaNA_1.01.02/3766/NL-HaNA_1.01.02_3766_0693.jpg", "next_meeting_viewer_url")</f>
        <v>next_meeting_viewer_url</v>
      </c>
      <c r="AC199" t="str">
        <f>HYPERLINK("https://images.diginfra.net/iiif/NL-HaNA_1.01.02/3766/NL-HaNA_1.01.02_3766_0693.jpg/3493,2366,1064,1110/full/0/default.jpg", "next_meeting_iiif_url")</f>
        <v>next_meeting_iiif_url</v>
      </c>
    </row>
    <row r="200" spans="1:29" x14ac:dyDescent="0.2">
      <c r="A200" t="s">
        <v>901</v>
      </c>
      <c r="B200" t="s">
        <v>48</v>
      </c>
      <c r="C200" t="s">
        <v>902</v>
      </c>
      <c r="D200" t="b">
        <v>1</v>
      </c>
      <c r="E200" t="b">
        <v>1</v>
      </c>
      <c r="F200">
        <v>1</v>
      </c>
      <c r="I200" t="s">
        <v>903</v>
      </c>
      <c r="J200">
        <v>3791</v>
      </c>
      <c r="K200">
        <v>308</v>
      </c>
      <c r="L200">
        <v>3335</v>
      </c>
      <c r="M200">
        <v>1453</v>
      </c>
      <c r="N200">
        <f t="shared" si="5"/>
        <v>616</v>
      </c>
      <c r="O200">
        <v>615</v>
      </c>
      <c r="P200">
        <v>1</v>
      </c>
      <c r="Q200">
        <v>1</v>
      </c>
      <c r="R200">
        <v>0</v>
      </c>
      <c r="S200" t="s">
        <v>33</v>
      </c>
      <c r="T200" t="str">
        <f>HYPERLINK("https://images.diginfra.net/framed3.html?imagesetuuid=e5198992-3bac-4cce-bc59-b70724ee426a&amp;uri=https://images.diginfra.net/iiif/NL-HaNA_1.01.02/3791/NL-HaNA_1.01.02_3791_0308.jpg", "viewer_url")</f>
        <v>viewer_url</v>
      </c>
      <c r="U200" t="str">
        <f>HYPERLINK("https://images.diginfra.net/iiif/NL-HaNA_1.01.02/3791/NL-HaNA_1.01.02_3791_0308.jpg/3335,1453,1075,1973/full/0/default.jpg", "iiif_url")</f>
        <v>iiif_url</v>
      </c>
      <c r="V200" t="s">
        <v>33</v>
      </c>
      <c r="W200" t="s">
        <v>904</v>
      </c>
      <c r="X200" t="str">
        <f>HYPERLINK("https://images.diginfra.net/framed3.html?imagesetuuid=e5198992-3bac-4cce-bc59-b70724ee426a&amp;uri=https://images.diginfra.net/iiif/NL-HaNA_1.01.02/3791/NL-HaNA_1.01.02_3791_0308.jpg", "prev_meeting_viewer_url")</f>
        <v>prev_meeting_viewer_url</v>
      </c>
      <c r="Y200" t="str">
        <f>HYPERLINK("https://images.diginfra.net/iiif/NL-HaNA_1.01.02/3791/NL-HaNA_1.01.02_3791_0308.jpg/238,1735,1100,1638/full/0/default.jpg", "prev_meeting_iiif_url")</f>
        <v>prev_meeting_iiif_url</v>
      </c>
      <c r="Z200" t="s">
        <v>33</v>
      </c>
      <c r="AA200" t="s">
        <v>905</v>
      </c>
      <c r="AB200" t="str">
        <f>HYPERLINK("https://images.diginfra.net/framed3.html?imagesetuuid=e5198992-3bac-4cce-bc59-b70724ee426a&amp;uri=https://images.diginfra.net/iiif/NL-HaNA_1.01.02/3791/NL-HaNA_1.01.02_3791_0309.jpg", "next_meeting_viewer_url")</f>
        <v>next_meeting_viewer_url</v>
      </c>
      <c r="AC200" t="str">
        <f>HYPERLINK("https://images.diginfra.net/iiif/NL-HaNA_1.01.02/3791/NL-HaNA_1.01.02_3791_0309.jpg/2372,943,1087,2502/full/0/default.jpg", "next_meeting_iiif_url")</f>
        <v>next_meeting_iiif_url</v>
      </c>
    </row>
    <row r="201" spans="1:29" x14ac:dyDescent="0.2">
      <c r="A201" t="s">
        <v>906</v>
      </c>
      <c r="B201" t="s">
        <v>48</v>
      </c>
      <c r="C201" t="s">
        <v>907</v>
      </c>
      <c r="D201" t="b">
        <v>1</v>
      </c>
      <c r="E201" t="b">
        <v>1</v>
      </c>
      <c r="F201">
        <v>1</v>
      </c>
      <c r="I201" t="s">
        <v>908</v>
      </c>
      <c r="J201">
        <v>3831</v>
      </c>
      <c r="K201">
        <v>123</v>
      </c>
      <c r="L201">
        <v>2320</v>
      </c>
      <c r="M201">
        <v>462</v>
      </c>
      <c r="N201">
        <f t="shared" si="5"/>
        <v>246</v>
      </c>
      <c r="O201">
        <v>245</v>
      </c>
      <c r="P201">
        <v>0</v>
      </c>
      <c r="Q201">
        <v>1</v>
      </c>
      <c r="R201">
        <v>0</v>
      </c>
      <c r="S201" t="s">
        <v>33</v>
      </c>
      <c r="T201" t="str">
        <f>HYPERLINK("https://images.diginfra.net/framed3.html?imagesetuuid=fbccadee-0831-4262-9b53-6f48467f765a&amp;uri=https://images.diginfra.net/iiif/NL-HaNA_1.01.02/3831/NL-HaNA_1.01.02_3831_0123.jpg", "viewer_url")</f>
        <v>viewer_url</v>
      </c>
      <c r="U201" t="str">
        <f>HYPERLINK("https://images.diginfra.net/iiif/NL-HaNA_1.01.02/3831/NL-HaNA_1.01.02_3831_0123.jpg/2320,462,1091,2985/full/0/default.jpg", "iiif_url")</f>
        <v>iiif_url</v>
      </c>
      <c r="V201" t="s">
        <v>33</v>
      </c>
      <c r="W201" t="s">
        <v>909</v>
      </c>
      <c r="X201" t="str">
        <f>HYPERLINK("https://images.diginfra.net/framed3.html?imagesetuuid=fbccadee-0831-4262-9b53-6f48467f765a&amp;uri=https://images.diginfra.net/iiif/NL-HaNA_1.01.02/3831/NL-HaNA_1.01.02_3831_0123.jpg", "prev_meeting_viewer_url")</f>
        <v>prev_meeting_viewer_url</v>
      </c>
      <c r="Y201" t="str">
        <f>HYPERLINK("https://images.diginfra.net/iiif/NL-HaNA_1.01.02/3831/NL-HaNA_1.01.02_3831_0123.jpg/234,976,1072,2431/full/0/default.jpg", "prev_meeting_iiif_url")</f>
        <v>prev_meeting_iiif_url</v>
      </c>
      <c r="Z201" t="s">
        <v>33</v>
      </c>
      <c r="AA201" t="s">
        <v>910</v>
      </c>
      <c r="AB201" t="str">
        <f>HYPERLINK("https://images.diginfra.net/framed3.html?imagesetuuid=fbccadee-0831-4262-9b53-6f48467f765a&amp;uri=https://images.diginfra.net/iiif/NL-HaNA_1.01.02/3831/NL-HaNA_1.01.02_3831_0127.jpg", "next_meeting_viewer_url")</f>
        <v>next_meeting_viewer_url</v>
      </c>
      <c r="AC201" t="str">
        <f>HYPERLINK("https://images.diginfra.net/iiif/NL-HaNA_1.01.02/3831/NL-HaNA_1.01.02_3831_0127.jpg/2404,2794,1027,601/full/0/default.jpg", "next_meeting_iiif_url")</f>
        <v>next_meeting_iiif_url</v>
      </c>
    </row>
    <row r="202" spans="1:29" x14ac:dyDescent="0.2">
      <c r="A202" t="s">
        <v>911</v>
      </c>
      <c r="B202" t="s">
        <v>79</v>
      </c>
      <c r="C202" t="s">
        <v>912</v>
      </c>
      <c r="D202" t="b">
        <v>1</v>
      </c>
      <c r="E202" t="b">
        <v>1</v>
      </c>
      <c r="F202">
        <v>1</v>
      </c>
      <c r="I202" t="s">
        <v>913</v>
      </c>
      <c r="J202">
        <v>3813</v>
      </c>
      <c r="K202">
        <v>404</v>
      </c>
      <c r="L202">
        <v>340</v>
      </c>
      <c r="M202">
        <v>1618</v>
      </c>
      <c r="N202">
        <f t="shared" si="5"/>
        <v>808</v>
      </c>
      <c r="O202">
        <v>806</v>
      </c>
      <c r="P202">
        <v>0</v>
      </c>
      <c r="Q202">
        <v>1</v>
      </c>
      <c r="R202">
        <v>20</v>
      </c>
      <c r="S202" t="s">
        <v>33</v>
      </c>
      <c r="T202" t="str">
        <f>HYPERLINK("https://images.diginfra.net/framed3.html?imagesetuuid=19a3f39b-117a-4ab7-b45b-5e134b099649&amp;uri=https://images.diginfra.net/iiif/NL-HaNA_1.01.02/3813/NL-HaNA_1.01.02_3813_0404.jpg", "viewer_url")</f>
        <v>viewer_url</v>
      </c>
      <c r="U202" t="str">
        <f>HYPERLINK("https://images.diginfra.net/iiif/NL-HaNA_1.01.02/3813/NL-HaNA_1.01.02_3813_0404.jpg/340,1618,1092,1773/full/0/default.jpg", "iiif_url")</f>
        <v>iiif_url</v>
      </c>
      <c r="V202" t="s">
        <v>33</v>
      </c>
      <c r="W202" t="s">
        <v>914</v>
      </c>
      <c r="X202" t="str">
        <f>HYPERLINK("https://images.diginfra.net/framed3.html?imagesetuuid=19a3f39b-117a-4ab7-b45b-5e134b099649&amp;uri=https://images.diginfra.net/iiif/NL-HaNA_1.01.02/3813/NL-HaNA_1.01.02_3813_0402.jpg", "prev_meeting_viewer_url")</f>
        <v>prev_meeting_viewer_url</v>
      </c>
      <c r="Y202" t="str">
        <f>HYPERLINK("https://images.diginfra.net/iiif/NL-HaNA_1.01.02/3813/NL-HaNA_1.01.02_3813_0402.jpg/1303,1392,1103,1953/full/0/default.jpg", "prev_meeting_iiif_url")</f>
        <v>prev_meeting_iiif_url</v>
      </c>
      <c r="Z202" t="s">
        <v>33</v>
      </c>
      <c r="AA202" t="s">
        <v>915</v>
      </c>
      <c r="AB202" t="str">
        <f>HYPERLINK("https://images.diginfra.net/framed3.html?imagesetuuid=19a3f39b-117a-4ab7-b45b-5e134b099649&amp;uri=https://images.diginfra.net/iiif/NL-HaNA_1.01.02/3813/NL-HaNA_1.01.02_3813_0405.jpg", "next_meeting_viewer_url")</f>
        <v>next_meeting_viewer_url</v>
      </c>
      <c r="AC202" t="str">
        <f>HYPERLINK("https://images.diginfra.net/iiif/NL-HaNA_1.01.02/3813/NL-HaNA_1.01.02_3813_0405.jpg/314,1507,1100,1901/full/0/default.jpg", "next_meeting_iiif_url")</f>
        <v>next_meeting_iiif_url</v>
      </c>
    </row>
    <row r="203" spans="1:29" x14ac:dyDescent="0.2">
      <c r="A203" t="s">
        <v>916</v>
      </c>
      <c r="B203" t="s">
        <v>79</v>
      </c>
      <c r="C203" t="s">
        <v>917</v>
      </c>
      <c r="D203" t="b">
        <v>1</v>
      </c>
      <c r="E203" t="b">
        <v>1</v>
      </c>
      <c r="F203">
        <v>1</v>
      </c>
      <c r="I203" t="s">
        <v>918</v>
      </c>
      <c r="J203">
        <v>3771</v>
      </c>
      <c r="K203">
        <v>96</v>
      </c>
      <c r="L203">
        <v>3461</v>
      </c>
      <c r="M203">
        <v>3029</v>
      </c>
      <c r="N203">
        <f t="shared" si="5"/>
        <v>192</v>
      </c>
      <c r="O203">
        <v>191</v>
      </c>
      <c r="P203">
        <v>1</v>
      </c>
      <c r="Q203">
        <v>3</v>
      </c>
      <c r="R203">
        <v>0</v>
      </c>
      <c r="S203" t="s">
        <v>33</v>
      </c>
      <c r="T203" t="str">
        <f>HYPERLINK("https://images.diginfra.net/framed3.html?imagesetuuid=16b7bf4c-5e05-4e5e-b109-cf178ead6c3f&amp;uri=https://images.diginfra.net/iiif/NL-HaNA_1.01.02/3771/NL-HaNA_1.01.02_3771_0096.jpg", "viewer_url")</f>
        <v>viewer_url</v>
      </c>
      <c r="U203" t="str">
        <f>HYPERLINK("https://images.diginfra.net/iiif/NL-HaNA_1.01.02/3771/NL-HaNA_1.01.02_3771_0096.jpg/3461,3029,908,413/full/0/default.jpg", "iiif_url")</f>
        <v>iiif_url</v>
      </c>
      <c r="V203" t="s">
        <v>33</v>
      </c>
      <c r="W203" t="s">
        <v>919</v>
      </c>
      <c r="X203" t="str">
        <f>HYPERLINK("https://images.diginfra.net/framed3.html?imagesetuuid=16b7bf4c-5e05-4e5e-b109-cf178ead6c3f&amp;uri=https://images.diginfra.net/iiif/NL-HaNA_1.01.02/3771/NL-HaNA_1.01.02_3771_0095.jpg", "prev_meeting_viewer_url")</f>
        <v>prev_meeting_viewer_url</v>
      </c>
      <c r="Y203" t="str">
        <f>HYPERLINK("https://images.diginfra.net/iiif/NL-HaNA_1.01.02/3771/NL-HaNA_1.01.02_3771_0095.jpg/3498,2019,1044,1351/full/0/default.jpg", "prev_meeting_iiif_url")</f>
        <v>prev_meeting_iiif_url</v>
      </c>
      <c r="Z203" t="s">
        <v>44</v>
      </c>
      <c r="AA203" t="s">
        <v>920</v>
      </c>
      <c r="AB203" t="str">
        <f>HYPERLINK("https://images.diginfra.net/framed3.html?imagesetuuid=16b7bf4c-5e05-4e5e-b109-cf178ead6c3f&amp;uri=https://images.diginfra.net/iiif/NL-HaNA_1.01.02/3771/NL-HaNA_1.01.02_3771_0100.jpg", "next_meeting_viewer_url")</f>
        <v>next_meeting_viewer_url</v>
      </c>
      <c r="AC203" t="str">
        <f>HYPERLINK("https://images.diginfra.net/iiif/NL-HaNA_1.01.02/3771/NL-HaNA_1.01.02_3771_0100.jpg/220,2902,875,487/full/0/default.jpg", "next_meeting_iiif_url")</f>
        <v>next_meeting_iiif_url</v>
      </c>
    </row>
    <row r="204" spans="1:29" x14ac:dyDescent="0.2">
      <c r="A204" t="s">
        <v>921</v>
      </c>
      <c r="B204" t="s">
        <v>37</v>
      </c>
      <c r="C204" t="s">
        <v>922</v>
      </c>
      <c r="D204" t="b">
        <v>1</v>
      </c>
      <c r="E204" t="b">
        <v>1</v>
      </c>
      <c r="F204">
        <v>1</v>
      </c>
      <c r="I204" t="s">
        <v>923</v>
      </c>
      <c r="J204">
        <v>3793</v>
      </c>
      <c r="K204">
        <v>276</v>
      </c>
      <c r="L204">
        <v>1384</v>
      </c>
      <c r="M204">
        <v>3013</v>
      </c>
      <c r="N204">
        <f t="shared" si="5"/>
        <v>552</v>
      </c>
      <c r="O204">
        <v>550</v>
      </c>
      <c r="P204">
        <v>1</v>
      </c>
      <c r="Q204">
        <v>3</v>
      </c>
      <c r="R204">
        <v>0</v>
      </c>
      <c r="S204" t="s">
        <v>33</v>
      </c>
      <c r="T204" t="str">
        <f>HYPERLINK("https://images.diginfra.net/framed3.html?imagesetuuid=8305a309-5c79-4c0c-a981-7e350c76be32&amp;uri=https://images.diginfra.net/iiif/NL-HaNA_1.01.02/3793/NL-HaNA_1.01.02_3793_0276.jpg", "viewer_url")</f>
        <v>viewer_url</v>
      </c>
      <c r="U204" t="str">
        <f>HYPERLINK("https://images.diginfra.net/iiif/NL-HaNA_1.01.02/3793/NL-HaNA_1.01.02_3793_0276.jpg/1384,3013,770,388/full/0/default.jpg", "iiif_url")</f>
        <v>iiif_url</v>
      </c>
      <c r="V204" t="s">
        <v>33</v>
      </c>
      <c r="W204" t="s">
        <v>924</v>
      </c>
      <c r="X204" t="str">
        <f>HYPERLINK("https://images.diginfra.net/framed3.html?imagesetuuid=8305a309-5c79-4c0c-a981-7e350c76be32&amp;uri=https://images.diginfra.net/iiif/NL-HaNA_1.01.02/3793/NL-HaNA_1.01.02_3793_0275.jpg", "prev_meeting_viewer_url")</f>
        <v>prev_meeting_viewer_url</v>
      </c>
      <c r="Y204" t="str">
        <f>HYPERLINK("https://images.diginfra.net/iiif/NL-HaNA_1.01.02/3793/NL-HaNA_1.01.02_3793_0275.jpg/2461,516,1096,2945/full/0/default.jpg", "prev_meeting_iiif_url")</f>
        <v>prev_meeting_iiif_url</v>
      </c>
      <c r="Z204" t="s">
        <v>33</v>
      </c>
      <c r="AA204" t="s">
        <v>925</v>
      </c>
      <c r="AB204" t="str">
        <f>HYPERLINK("https://images.diginfra.net/framed3.html?imagesetuuid=8305a309-5c79-4c0c-a981-7e350c76be32&amp;uri=https://images.diginfra.net/iiif/NL-HaNA_1.01.02/3793/NL-HaNA_1.01.02_3793_0277.jpg", "next_meeting_viewer_url")</f>
        <v>next_meeting_viewer_url</v>
      </c>
      <c r="AC204" t="str">
        <f>HYPERLINK("https://images.diginfra.net/iiif/NL-HaNA_1.01.02/3793/NL-HaNA_1.01.02_3793_0277.jpg/2438,1599,1107,1849/full/0/default.jpg", "next_meeting_iiif_url")</f>
        <v>next_meeting_iiif_url</v>
      </c>
    </row>
    <row r="205" spans="1:29" x14ac:dyDescent="0.2">
      <c r="A205" t="s">
        <v>926</v>
      </c>
      <c r="B205" t="s">
        <v>37</v>
      </c>
      <c r="D205" t="b">
        <v>1</v>
      </c>
      <c r="E205" t="b">
        <v>0</v>
      </c>
      <c r="F205">
        <v>0</v>
      </c>
      <c r="J205">
        <v>3832</v>
      </c>
      <c r="K205">
        <v>447</v>
      </c>
      <c r="L205">
        <v>3320</v>
      </c>
      <c r="M205">
        <v>2850</v>
      </c>
      <c r="N205">
        <f t="shared" si="5"/>
        <v>894</v>
      </c>
      <c r="O205">
        <v>893</v>
      </c>
      <c r="P205">
        <v>1</v>
      </c>
      <c r="T205" t="str">
        <f>HYPERLINK("None", "viewer_url")</f>
        <v>viewer_url</v>
      </c>
      <c r="U205" s="1" t="str">
        <f>HYPERLINK("https://images.diginfra.net/iiif/NL-HaNA_1.01.02/3832/NL-HaNA_1.01.02_3832_0447.jpg/3320,2850,850,450/full/0/default.jpg", "iiif_url")</f>
        <v>iiif_url</v>
      </c>
      <c r="V205" t="s">
        <v>44</v>
      </c>
      <c r="W205" t="s">
        <v>927</v>
      </c>
      <c r="X205" t="str">
        <f>HYPERLINK("https://images.diginfra.net/framed3.html?imagesetuuid=e4d299a2-71b5-40fc-b329-60132fadd11f&amp;uri=https://images.diginfra.net/iiif/NL-HaNA_1.01.02/3832/NL-HaNA_1.01.02_3832_0446.jpg", "prev_meeting_viewer_url")</f>
        <v>prev_meeting_viewer_url</v>
      </c>
      <c r="Y205" t="str">
        <f>HYPERLINK("https://images.diginfra.net/iiif/NL-HaNA_1.01.02/3832/NL-HaNA_1.01.02_3832_0446.jpg/3236,2547,1027,836/full/0/default.jpg", "prev_meeting_iiif_url")</f>
        <v>prev_meeting_iiif_url</v>
      </c>
    </row>
    <row r="206" spans="1:29" x14ac:dyDescent="0.2">
      <c r="A206" t="s">
        <v>928</v>
      </c>
      <c r="B206" t="s">
        <v>30</v>
      </c>
      <c r="C206" t="s">
        <v>929</v>
      </c>
      <c r="D206" t="b">
        <v>1</v>
      </c>
      <c r="E206" t="b">
        <v>1</v>
      </c>
      <c r="F206">
        <v>1</v>
      </c>
      <c r="I206" t="s">
        <v>930</v>
      </c>
      <c r="J206">
        <v>3821</v>
      </c>
      <c r="K206">
        <v>324</v>
      </c>
      <c r="L206">
        <v>3277</v>
      </c>
      <c r="M206">
        <v>1620</v>
      </c>
      <c r="N206">
        <f t="shared" si="5"/>
        <v>648</v>
      </c>
      <c r="O206">
        <v>647</v>
      </c>
      <c r="P206">
        <v>0</v>
      </c>
      <c r="Q206">
        <v>0</v>
      </c>
      <c r="R206">
        <v>28</v>
      </c>
      <c r="S206" t="s">
        <v>33</v>
      </c>
      <c r="T206" t="str">
        <f>HYPERLINK("https://images.diginfra.net/framed3.html?imagesetuuid=d2997452-8788-4796-912c-2151f3b459f9&amp;uri=https://images.diginfra.net/iiif/NL-HaNA_1.01.02/3821/NL-HaNA_1.01.02_3821_0324.jpg", "viewer_url")</f>
        <v>viewer_url</v>
      </c>
      <c r="U206" t="str">
        <f>HYPERLINK("https://images.diginfra.net/iiif/NL-HaNA_1.01.02/3821/NL-HaNA_1.01.02_3821_0324.jpg/3277,1620,1071,1766/full/0/default.jpg", "iiif_url")</f>
        <v>iiif_url</v>
      </c>
      <c r="V206" t="s">
        <v>33</v>
      </c>
      <c r="W206" t="s">
        <v>931</v>
      </c>
      <c r="X206" t="str">
        <f>HYPERLINK("https://images.diginfra.net/framed3.html?imagesetuuid=d2997452-8788-4796-912c-2151f3b459f9&amp;uri=https://images.diginfra.net/iiif/NL-HaNA_1.01.02/3821/NL-HaNA_1.01.02_3821_0323.jpg", "prev_meeting_viewer_url")</f>
        <v>prev_meeting_viewer_url</v>
      </c>
      <c r="Y206" t="str">
        <f>HYPERLINK("https://images.diginfra.net/iiif/NL-HaNA_1.01.02/3821/NL-HaNA_1.01.02_3821_0323.jpg/1163,2189,1077,1297/full/0/default.jpg", "prev_meeting_iiif_url")</f>
        <v>prev_meeting_iiif_url</v>
      </c>
      <c r="Z206" t="s">
        <v>33</v>
      </c>
      <c r="AA206" t="s">
        <v>932</v>
      </c>
      <c r="AB206" t="str">
        <f>HYPERLINK("https://images.diginfra.net/framed3.html?imagesetuuid=d2997452-8788-4796-912c-2151f3b459f9&amp;uri=https://images.diginfra.net/iiif/NL-HaNA_1.01.02/3821/NL-HaNA_1.01.02_3821_0326.jpg", "next_meeting_viewer_url")</f>
        <v>next_meeting_viewer_url</v>
      </c>
      <c r="AC206" t="str">
        <f>HYPERLINK("https://images.diginfra.net/iiif/NL-HaNA_1.01.02/3821/NL-HaNA_1.01.02_3821_0326.jpg/229,1464,1068,1916/full/0/default.jpg", "next_meeting_iiif_url")</f>
        <v>next_meeting_iiif_url</v>
      </c>
    </row>
    <row r="207" spans="1:29" x14ac:dyDescent="0.2">
      <c r="A207" t="s">
        <v>933</v>
      </c>
      <c r="B207" t="s">
        <v>79</v>
      </c>
      <c r="C207" t="s">
        <v>934</v>
      </c>
      <c r="D207" t="b">
        <v>1</v>
      </c>
      <c r="E207" t="b">
        <v>1</v>
      </c>
      <c r="F207">
        <v>1</v>
      </c>
      <c r="I207" t="s">
        <v>935</v>
      </c>
      <c r="J207">
        <v>3834</v>
      </c>
      <c r="K207">
        <v>299</v>
      </c>
      <c r="L207">
        <v>3360</v>
      </c>
      <c r="M207">
        <v>1330</v>
      </c>
      <c r="N207">
        <f t="shared" si="5"/>
        <v>598</v>
      </c>
      <c r="O207">
        <v>597</v>
      </c>
      <c r="P207">
        <v>1</v>
      </c>
      <c r="Q207">
        <v>2</v>
      </c>
      <c r="R207">
        <v>0</v>
      </c>
      <c r="S207" t="s">
        <v>33</v>
      </c>
      <c r="T207" t="str">
        <f>HYPERLINK("https://images.diginfra.net/framed3.html?imagesetuuid=bf11cd8e-e3f4-444c-9caa-dcdfd20137d7&amp;uri=https://images.diginfra.net/iiif/NL-HaNA_1.01.02/3834/NL-HaNA_1.01.02_3834_0299.jpg", "viewer_url")</f>
        <v>viewer_url</v>
      </c>
      <c r="U207" t="str">
        <f>HYPERLINK("https://images.diginfra.net/iiif/NL-HaNA_1.01.02/3834/NL-HaNA_1.01.02_3834_0299.jpg/3360,1330,1106,2001/full/0/default.jpg", "iiif_url")</f>
        <v>iiif_url</v>
      </c>
      <c r="Z207" t="s">
        <v>33</v>
      </c>
      <c r="AA207" t="s">
        <v>936</v>
      </c>
      <c r="AB207" t="str">
        <f>HYPERLINK("https://images.diginfra.net/framed3.html?imagesetuuid=bf11cd8e-e3f4-444c-9caa-dcdfd20137d7&amp;uri=https://images.diginfra.net/iiif/NL-HaNA_1.01.02/3834/NL-HaNA_1.01.02_3834_0302.jpg", "next_meeting_viewer_url")</f>
        <v>next_meeting_viewer_url</v>
      </c>
      <c r="AC207" t="str">
        <f>HYPERLINK("https://images.diginfra.net/iiif/NL-HaNA_1.01.02/3834/NL-HaNA_1.01.02_3834_0302.jpg/2454,2983,1077,445/full/0/default.jpg", "next_meeting_iiif_url")</f>
        <v>next_meeting_iiif_url</v>
      </c>
    </row>
    <row r="208" spans="1:29" x14ac:dyDescent="0.2">
      <c r="A208" t="s">
        <v>937</v>
      </c>
      <c r="B208" t="s">
        <v>79</v>
      </c>
      <c r="C208" t="s">
        <v>938</v>
      </c>
      <c r="D208" t="b">
        <v>1</v>
      </c>
      <c r="E208" t="b">
        <v>1</v>
      </c>
      <c r="F208">
        <v>1</v>
      </c>
      <c r="I208" t="s">
        <v>939</v>
      </c>
      <c r="J208">
        <v>3812</v>
      </c>
      <c r="K208">
        <v>155</v>
      </c>
      <c r="L208">
        <v>3353</v>
      </c>
      <c r="M208">
        <v>2544</v>
      </c>
      <c r="N208">
        <f t="shared" si="5"/>
        <v>310</v>
      </c>
      <c r="O208">
        <v>309</v>
      </c>
      <c r="P208">
        <v>1</v>
      </c>
      <c r="Q208">
        <v>2</v>
      </c>
      <c r="R208">
        <v>0</v>
      </c>
      <c r="S208" t="s">
        <v>33</v>
      </c>
      <c r="T208" t="str">
        <f>HYPERLINK("https://images.diginfra.net/framed3.html?imagesetuuid=2068053a-a1c4-40f9-a503-3778784a1420&amp;uri=https://images.diginfra.net/iiif/NL-HaNA_1.01.02/3812/NL-HaNA_1.01.02_3812_0155.jpg", "viewer_url")</f>
        <v>viewer_url</v>
      </c>
      <c r="U208" t="str">
        <f>HYPERLINK("https://images.diginfra.net/iiif/NL-HaNA_1.01.02/3812/NL-HaNA_1.01.02_3812_0155.jpg/3353,2544,1040,885/full/0/default.jpg", "iiif_url")</f>
        <v>iiif_url</v>
      </c>
      <c r="V208" t="s">
        <v>33</v>
      </c>
      <c r="W208" t="s">
        <v>940</v>
      </c>
      <c r="X208" t="str">
        <f>HYPERLINK("https://images.diginfra.net/framed3.html?imagesetuuid=2068053a-a1c4-40f9-a503-3778784a1420&amp;uri=https://images.diginfra.net/iiif/NL-HaNA_1.01.02/3812/NL-HaNA_1.01.02_3812_0153.jpg", "prev_meeting_viewer_url")</f>
        <v>prev_meeting_viewer_url</v>
      </c>
      <c r="Y208" t="str">
        <f>HYPERLINK("https://images.diginfra.net/iiif/NL-HaNA_1.01.02/3812/NL-HaNA_1.01.02_3812_0153.jpg/3325,1703,1097,1666/full/0/default.jpg", "prev_meeting_iiif_url")</f>
        <v>prev_meeting_iiif_url</v>
      </c>
      <c r="Z208" t="s">
        <v>33</v>
      </c>
      <c r="AA208" t="s">
        <v>941</v>
      </c>
      <c r="AB208" t="str">
        <f>HYPERLINK("https://images.diginfra.net/framed3.html?imagesetuuid=2068053a-a1c4-40f9-a503-3778784a1420&amp;uri=https://images.diginfra.net/iiif/NL-HaNA_1.01.02/3812/NL-HaNA_1.01.02_3812_0156.jpg", "next_meeting_viewer_url")</f>
        <v>next_meeting_viewer_url</v>
      </c>
      <c r="AC208" t="str">
        <f>HYPERLINK("https://images.diginfra.net/iiif/NL-HaNA_1.01.02/3812/NL-HaNA_1.01.02_3812_0156.jpg/1162,1990,1100,1421/full/0/default.jpg", "next_meeting_iiif_url")</f>
        <v>next_meeting_iiif_url</v>
      </c>
    </row>
    <row r="209" spans="1:29" x14ac:dyDescent="0.2">
      <c r="A209" t="s">
        <v>942</v>
      </c>
      <c r="B209" t="s">
        <v>48</v>
      </c>
      <c r="C209" t="s">
        <v>943</v>
      </c>
      <c r="D209" t="b">
        <v>1</v>
      </c>
      <c r="E209" t="b">
        <v>1</v>
      </c>
      <c r="F209">
        <v>1</v>
      </c>
      <c r="I209" t="s">
        <v>944</v>
      </c>
      <c r="J209">
        <v>3803</v>
      </c>
      <c r="K209">
        <v>164</v>
      </c>
      <c r="L209">
        <v>2390</v>
      </c>
      <c r="M209">
        <v>1292</v>
      </c>
      <c r="N209">
        <f t="shared" si="5"/>
        <v>328</v>
      </c>
      <c r="O209">
        <v>327</v>
      </c>
      <c r="P209">
        <v>0</v>
      </c>
      <c r="Q209">
        <v>2</v>
      </c>
      <c r="R209">
        <v>0</v>
      </c>
      <c r="S209" t="s">
        <v>33</v>
      </c>
      <c r="T209" t="str">
        <f>HYPERLINK("https://images.diginfra.net/framed3.html?imagesetuuid=38df7783-1913-47c1-b96e-bdb08c6574dc&amp;uri=https://images.diginfra.net/iiif/NL-HaNA_1.01.02/3803/NL-HaNA_1.01.02_3803_0164.jpg", "viewer_url")</f>
        <v>viewer_url</v>
      </c>
      <c r="U209" t="str">
        <f>HYPERLINK("https://images.diginfra.net/iiif/NL-HaNA_1.01.02/3803/NL-HaNA_1.01.02_3803_0164.jpg/2390,1292,1072,2027/full/0/default.jpg", "iiif_url")</f>
        <v>iiif_url</v>
      </c>
      <c r="V209" t="s">
        <v>33</v>
      </c>
      <c r="W209" t="s">
        <v>945</v>
      </c>
      <c r="X209" t="str">
        <f>HYPERLINK("https://images.diginfra.net/framed3.html?imagesetuuid=38df7783-1913-47c1-b96e-bdb08c6574dc&amp;uri=https://images.diginfra.net/iiif/NL-HaNA_1.01.02/3803/NL-HaNA_1.01.02_3803_0164.jpg", "prev_meeting_viewer_url")</f>
        <v>prev_meeting_viewer_url</v>
      </c>
      <c r="Y209" t="str">
        <f>HYPERLINK("https://images.diginfra.net/iiif/NL-HaNA_1.01.02/3803/NL-HaNA_1.01.02_3803_0164.jpg/319,2850,906,456/full/0/default.jpg", "prev_meeting_iiif_url")</f>
        <v>prev_meeting_iiif_url</v>
      </c>
      <c r="Z209" t="s">
        <v>33</v>
      </c>
      <c r="AA209" t="s">
        <v>307</v>
      </c>
      <c r="AB209" t="str">
        <f>HYPERLINK("https://images.diginfra.net/framed3.html?imagesetuuid=38df7783-1913-47c1-b96e-bdb08c6574dc&amp;uri=https://images.diginfra.net/iiif/NL-HaNA_1.01.02/3803/NL-HaNA_1.01.02_3803_0167.jpg", "next_meeting_viewer_url")</f>
        <v>next_meeting_viewer_url</v>
      </c>
      <c r="AC209" t="str">
        <f>HYPERLINK("https://images.diginfra.net/iiif/NL-HaNA_1.01.02/3803/NL-HaNA_1.01.02_3803_0167.jpg/1274,2233,1039,1198/full/0/default.jpg", "next_meeting_iiif_url")</f>
        <v>next_meeting_iiif_url</v>
      </c>
    </row>
    <row r="210" spans="1:29" x14ac:dyDescent="0.2">
      <c r="A210" t="s">
        <v>946</v>
      </c>
      <c r="B210" t="s">
        <v>85</v>
      </c>
      <c r="D210" t="b">
        <v>1</v>
      </c>
      <c r="E210" t="b">
        <v>1</v>
      </c>
      <c r="F210">
        <v>1</v>
      </c>
      <c r="J210">
        <v>3763</v>
      </c>
      <c r="K210">
        <v>169</v>
      </c>
      <c r="L210">
        <v>2554</v>
      </c>
      <c r="M210">
        <v>3107</v>
      </c>
      <c r="N210">
        <f t="shared" si="5"/>
        <v>338</v>
      </c>
      <c r="O210">
        <v>337</v>
      </c>
      <c r="P210">
        <v>0</v>
      </c>
      <c r="T210" t="str">
        <f>HYPERLINK("None", "viewer_url")</f>
        <v>viewer_url</v>
      </c>
      <c r="U210" t="str">
        <f>HYPERLINK("https://images.diginfra.net/iiif/NL-HaNA_1.01.02/3763/NL-HaNA_1.01.02_3763_0169.jpg/2554,3107,666,173/full/0/default.jpg", "iiif_url")</f>
        <v>iiif_url</v>
      </c>
      <c r="V210" t="s">
        <v>44</v>
      </c>
      <c r="W210" t="s">
        <v>947</v>
      </c>
      <c r="X210" t="str">
        <f>HYPERLINK("https://images.diginfra.net/framed3.html?imagesetuuid=168ac05c-00de-43e1-bb35-d8e406b92363&amp;uri=https://images.diginfra.net/iiif/NL-HaNA_1.01.02/3763/NL-HaNA_1.01.02_3763_0168.jpg", "prev_meeting_viewer_url")</f>
        <v>prev_meeting_viewer_url</v>
      </c>
      <c r="Y210" t="str">
        <f>HYPERLINK("https://images.diginfra.net/iiif/NL-HaNA_1.01.02/3763/NL-HaNA_1.01.02_3763_0168.jpg/3340,1337,1114,2055/full/0/default.jpg", "prev_meeting_iiif_url")</f>
        <v>prev_meeting_iiif_url</v>
      </c>
      <c r="Z210" t="s">
        <v>33</v>
      </c>
      <c r="AA210" t="s">
        <v>948</v>
      </c>
      <c r="AB210" t="str">
        <f>HYPERLINK("https://images.diginfra.net/framed3.html?imagesetuuid=168ac05c-00de-43e1-bb35-d8e406b92363&amp;uri=https://images.diginfra.net/iiif/NL-HaNA_1.01.02/3763/NL-HaNA_1.01.02_3763_0171.jpg", "next_meeting_viewer_url")</f>
        <v>next_meeting_viewer_url</v>
      </c>
      <c r="AC210" t="str">
        <f>HYPERLINK("https://images.diginfra.net/iiif/NL-HaNA_1.01.02/3763/NL-HaNA_1.01.02_3763_0171.jpg/1228,1458,1077,1816/full/0/default.jpg", "next_meeting_iiif_url")</f>
        <v>next_meeting_iiif_url</v>
      </c>
    </row>
    <row r="211" spans="1:29" x14ac:dyDescent="0.2">
      <c r="A211" t="s">
        <v>949</v>
      </c>
      <c r="B211" t="s">
        <v>30</v>
      </c>
      <c r="C211" t="s">
        <v>950</v>
      </c>
      <c r="D211" t="b">
        <v>1</v>
      </c>
      <c r="E211" t="b">
        <v>1</v>
      </c>
      <c r="F211">
        <v>1</v>
      </c>
      <c r="I211" t="s">
        <v>951</v>
      </c>
      <c r="J211">
        <v>3814</v>
      </c>
      <c r="K211">
        <v>505</v>
      </c>
      <c r="L211">
        <v>2340</v>
      </c>
      <c r="M211">
        <v>811</v>
      </c>
      <c r="N211">
        <f t="shared" si="5"/>
        <v>1010</v>
      </c>
      <c r="O211">
        <v>1009</v>
      </c>
      <c r="P211">
        <v>0</v>
      </c>
      <c r="Q211">
        <v>1</v>
      </c>
      <c r="R211">
        <v>0</v>
      </c>
      <c r="S211" t="s">
        <v>33</v>
      </c>
      <c r="T211" t="str">
        <f>HYPERLINK("https://images.diginfra.net/framed3.html?imagesetuuid=a95427fd-d131-4f1b-a2ee-069d038f458a&amp;uri=https://images.diginfra.net/iiif/NL-HaNA_1.01.02/3814/NL-HaNA_1.01.02_3814_0505.jpg", "viewer_url")</f>
        <v>viewer_url</v>
      </c>
      <c r="U211" t="str">
        <f>HYPERLINK("https://images.diginfra.net/iiif/NL-HaNA_1.01.02/3814/NL-HaNA_1.01.02_3814_0505.jpg/2340,811,1101,2643/full/0/default.jpg", "iiif_url")</f>
        <v>iiif_url</v>
      </c>
      <c r="V211" t="s">
        <v>33</v>
      </c>
      <c r="W211" t="s">
        <v>952</v>
      </c>
      <c r="X211" t="str">
        <f>HYPERLINK("https://images.diginfra.net/framed3.html?imagesetuuid=a95427fd-d131-4f1b-a2ee-069d038f458a&amp;uri=https://images.diginfra.net/iiif/NL-HaNA_1.01.02/3814/NL-HaNA_1.01.02_3814_0503.jpg", "prev_meeting_viewer_url")</f>
        <v>prev_meeting_viewer_url</v>
      </c>
      <c r="Y211" t="str">
        <f>HYPERLINK("https://images.diginfra.net/iiif/NL-HaNA_1.01.02/3814/NL-HaNA_1.01.02_3814_0503.jpg/3341,2342,1053,1038/full/0/default.jpg", "prev_meeting_iiif_url")</f>
        <v>prev_meeting_iiif_url</v>
      </c>
      <c r="Z211" t="s">
        <v>33</v>
      </c>
      <c r="AA211" t="s">
        <v>953</v>
      </c>
      <c r="AB211" t="str">
        <f>HYPERLINK("https://images.diginfra.net/framed3.html?imagesetuuid=a95427fd-d131-4f1b-a2ee-069d038f458a&amp;uri=https://images.diginfra.net/iiif/NL-HaNA_1.01.02/3814/NL-HaNA_1.01.02_3814_0506.jpg", "next_meeting_viewer_url")</f>
        <v>next_meeting_viewer_url</v>
      </c>
      <c r="AC211" t="str">
        <f>HYPERLINK("https://images.diginfra.net/iiif/NL-HaNA_1.01.02/3814/NL-HaNA_1.01.02_3814_0506.jpg/3267,931,1107,2495/full/0/default.jpg", "next_meeting_iiif_url")</f>
        <v>next_meeting_iiif_url</v>
      </c>
    </row>
    <row r="212" spans="1:29" x14ac:dyDescent="0.2">
      <c r="A212" t="s">
        <v>954</v>
      </c>
      <c r="B212" t="s">
        <v>30</v>
      </c>
      <c r="C212" t="s">
        <v>955</v>
      </c>
      <c r="D212" t="b">
        <v>1</v>
      </c>
      <c r="E212" t="b">
        <v>1</v>
      </c>
      <c r="F212">
        <v>1</v>
      </c>
      <c r="I212" t="s">
        <v>956</v>
      </c>
      <c r="J212">
        <v>3762</v>
      </c>
      <c r="K212">
        <v>130</v>
      </c>
      <c r="L212">
        <v>2350</v>
      </c>
      <c r="M212">
        <v>1139</v>
      </c>
      <c r="N212">
        <f t="shared" si="5"/>
        <v>260</v>
      </c>
      <c r="O212">
        <v>259</v>
      </c>
      <c r="P212">
        <v>0</v>
      </c>
      <c r="Q212">
        <v>0</v>
      </c>
      <c r="R212">
        <v>17</v>
      </c>
      <c r="S212" t="s">
        <v>33</v>
      </c>
      <c r="T212" t="str">
        <f>HYPERLINK("https://images.diginfra.net/framed3.html?imagesetuuid=df3dafee-b161-42ae-8ffe-6d7f9dbb63ed&amp;uri=https://images.diginfra.net/iiif/NL-HaNA_1.01.02/3762/NL-HaNA_1.01.02_3762_0130.jpg", "viewer_url")</f>
        <v>viewer_url</v>
      </c>
      <c r="U212" t="str">
        <f>HYPERLINK("https://images.diginfra.net/iiif/NL-HaNA_1.01.02/3762/NL-HaNA_1.01.02_3762_0130.jpg/2350,1139,1112,2304/full/0/default.jpg", "iiif_url")</f>
        <v>iiif_url</v>
      </c>
      <c r="V212" t="s">
        <v>33</v>
      </c>
      <c r="W212" t="s">
        <v>957</v>
      </c>
      <c r="X212" t="str">
        <f>HYPERLINK("https://images.diginfra.net/framed3.html?imagesetuuid=df3dafee-b161-42ae-8ffe-6d7f9dbb63ed&amp;uri=https://images.diginfra.net/iiif/NL-HaNA_1.01.02/3762/NL-HaNA_1.01.02_3762_0127.jpg", "prev_meeting_viewer_url")</f>
        <v>prev_meeting_viewer_url</v>
      </c>
      <c r="Y212" t="str">
        <f>HYPERLINK("https://images.diginfra.net/iiif/NL-HaNA_1.01.02/3762/NL-HaNA_1.01.02_3762_0127.jpg/1316,1650,1066,1752/full/0/default.jpg", "prev_meeting_iiif_url")</f>
        <v>prev_meeting_iiif_url</v>
      </c>
      <c r="Z212" t="s">
        <v>33</v>
      </c>
      <c r="AA212" t="s">
        <v>958</v>
      </c>
      <c r="AB212" t="str">
        <f>HYPERLINK("https://images.diginfra.net/framed3.html?imagesetuuid=df3dafee-b161-42ae-8ffe-6d7f9dbb63ed&amp;uri=https://images.diginfra.net/iiif/NL-HaNA_1.01.02/3762/NL-HaNA_1.01.02_3762_0132.jpg", "next_meeting_viewer_url")</f>
        <v>next_meeting_viewer_url</v>
      </c>
      <c r="AC212" t="str">
        <f>HYPERLINK("https://images.diginfra.net/iiif/NL-HaNA_1.01.02/3762/NL-HaNA_1.01.02_3762_0132.jpg/2334,761,1033,938/full/0/default.jpg", "next_meeting_iiif_url")</f>
        <v>next_meeting_iiif_url</v>
      </c>
    </row>
    <row r="213" spans="1:29" x14ac:dyDescent="0.2">
      <c r="A213" t="s">
        <v>959</v>
      </c>
      <c r="B213" t="s">
        <v>30</v>
      </c>
      <c r="C213" t="s">
        <v>960</v>
      </c>
      <c r="D213" t="b">
        <v>1</v>
      </c>
      <c r="E213" t="b">
        <v>1</v>
      </c>
      <c r="F213">
        <v>1</v>
      </c>
      <c r="I213" t="s">
        <v>961</v>
      </c>
      <c r="J213">
        <v>3760</v>
      </c>
      <c r="K213">
        <v>667</v>
      </c>
      <c r="L213">
        <v>1408</v>
      </c>
      <c r="M213">
        <v>2091</v>
      </c>
      <c r="N213">
        <f t="shared" si="5"/>
        <v>1334</v>
      </c>
      <c r="O213">
        <v>1332</v>
      </c>
      <c r="P213">
        <v>1</v>
      </c>
      <c r="Q213">
        <v>1</v>
      </c>
      <c r="R213">
        <v>1</v>
      </c>
      <c r="S213" t="s">
        <v>33</v>
      </c>
      <c r="T213" t="str">
        <f>HYPERLINK("https://images.diginfra.net/framed3.html?imagesetuuid=dc1aea1e-5e7b-4d50-b913-c0d5902dbd85&amp;uri=https://images.diginfra.net/iiif/NL-HaNA_1.01.02/3760/NL-HaNA_1.01.02_3760_0667.jpg", "viewer_url")</f>
        <v>viewer_url</v>
      </c>
      <c r="U213" t="str">
        <f>HYPERLINK("https://images.diginfra.net/iiif/NL-HaNA_1.01.02/3760/NL-HaNA_1.01.02_3760_0667.jpg/1408,2091,1036,1286/full/0/default.jpg", "iiif_url")</f>
        <v>iiif_url</v>
      </c>
      <c r="V213" t="s">
        <v>33</v>
      </c>
      <c r="W213" t="s">
        <v>962</v>
      </c>
      <c r="X213" t="str">
        <f>HYPERLINK("https://images.diginfra.net/framed3.html?imagesetuuid=dc1aea1e-5e7b-4d50-b913-c0d5902dbd85&amp;uri=https://images.diginfra.net/iiif/NL-HaNA_1.01.02/3760/NL-HaNA_1.01.02_3760_0665.jpg", "prev_meeting_viewer_url")</f>
        <v>prev_meeting_viewer_url</v>
      </c>
      <c r="Y213" t="str">
        <f>HYPERLINK("https://images.diginfra.net/iiif/NL-HaNA_1.01.02/3760/NL-HaNA_1.01.02_3760_0665.jpg/2461,433,1093,2873/full/0/default.jpg", "prev_meeting_iiif_url")</f>
        <v>prev_meeting_iiif_url</v>
      </c>
      <c r="Z213" t="s">
        <v>44</v>
      </c>
      <c r="AA213" t="s">
        <v>963</v>
      </c>
      <c r="AB213" t="str">
        <f>HYPERLINK("https://images.diginfra.net/framed3.html?imagesetuuid=dc1aea1e-5e7b-4d50-b913-c0d5902dbd85&amp;uri=https://images.diginfra.net/iiif/NL-HaNA_1.01.02/3760/NL-HaNA_1.01.02_3760_0669.jpg", "next_meeting_viewer_url")</f>
        <v>next_meeting_viewer_url</v>
      </c>
      <c r="AC213" t="str">
        <f>HYPERLINK("https://images.diginfra.net/iiif/NL-HaNA_1.01.02/3760/NL-HaNA_1.01.02_3760_0669.jpg/1359,1995,1039,1228/full/0/default.jpg", "next_meeting_iiif_url")</f>
        <v>next_meeting_iiif_url</v>
      </c>
    </row>
    <row r="214" spans="1:29" x14ac:dyDescent="0.2">
      <c r="A214" t="s">
        <v>964</v>
      </c>
      <c r="B214" t="s">
        <v>59</v>
      </c>
      <c r="C214" t="s">
        <v>965</v>
      </c>
      <c r="D214" t="b">
        <v>1</v>
      </c>
      <c r="E214" t="b">
        <v>1</v>
      </c>
      <c r="F214">
        <v>1</v>
      </c>
      <c r="I214" t="s">
        <v>966</v>
      </c>
      <c r="J214">
        <v>3782</v>
      </c>
      <c r="K214">
        <v>250</v>
      </c>
      <c r="L214">
        <v>354</v>
      </c>
      <c r="M214">
        <v>2729</v>
      </c>
      <c r="N214">
        <f t="shared" si="5"/>
        <v>500</v>
      </c>
      <c r="O214">
        <v>498</v>
      </c>
      <c r="P214">
        <v>0</v>
      </c>
      <c r="Q214">
        <v>2</v>
      </c>
      <c r="R214">
        <v>0</v>
      </c>
      <c r="S214" t="s">
        <v>33</v>
      </c>
      <c r="T214" t="str">
        <f>HYPERLINK("https://images.diginfra.net/framed3.html?imagesetuuid=6d3687da-fdc8-4a47-ac98-f85d45f74cb7&amp;uri=https://images.diginfra.net/iiif/NL-HaNA_1.01.02/3782/NL-HaNA_1.01.02_3782_0250.jpg", "viewer_url")</f>
        <v>viewer_url</v>
      </c>
      <c r="U214" t="str">
        <f>HYPERLINK("https://images.diginfra.net/iiif/NL-HaNA_1.01.02/3782/NL-HaNA_1.01.02_3782_0250.jpg/354,2729,1029,669/full/0/default.jpg", "iiif_url")</f>
        <v>iiif_url</v>
      </c>
      <c r="V214" t="s">
        <v>33</v>
      </c>
      <c r="W214" t="s">
        <v>967</v>
      </c>
      <c r="X214" t="str">
        <f>HYPERLINK("https://images.diginfra.net/framed3.html?imagesetuuid=6d3687da-fdc8-4a47-ac98-f85d45f74cb7&amp;uri=https://images.diginfra.net/iiif/NL-HaNA_1.01.02/3782/NL-HaNA_1.01.02_3782_0247.jpg", "prev_meeting_viewer_url")</f>
        <v>prev_meeting_viewer_url</v>
      </c>
      <c r="Y214" t="str">
        <f>HYPERLINK("https://images.diginfra.net/iiif/NL-HaNA_1.01.02/3782/NL-HaNA_1.01.02_3782_0247.jpg/369,1872,1028,1620/full/0/default.jpg", "prev_meeting_iiif_url")</f>
        <v>prev_meeting_iiif_url</v>
      </c>
      <c r="Z214" t="s">
        <v>33</v>
      </c>
      <c r="AA214" t="s">
        <v>968</v>
      </c>
      <c r="AB214" t="str">
        <f>HYPERLINK("https://images.diginfra.net/framed3.html?imagesetuuid=6d3687da-fdc8-4a47-ac98-f85d45f74cb7&amp;uri=https://images.diginfra.net/iiif/NL-HaNA_1.01.02/3782/NL-HaNA_1.01.02_3782_0250.jpg", "next_meeting_viewer_url")</f>
        <v>next_meeting_viewer_url</v>
      </c>
      <c r="AC214" t="str">
        <f>HYPERLINK("https://images.diginfra.net/iiif/NL-HaNA_1.01.02/3782/NL-HaNA_1.01.02_3782_0250.jpg/3463,2032,1093,1325/full/0/default.jpg", "next_meeting_iiif_url")</f>
        <v>next_meeting_iiif_url</v>
      </c>
    </row>
    <row r="215" spans="1:29" x14ac:dyDescent="0.2">
      <c r="A215" t="s">
        <v>969</v>
      </c>
      <c r="B215" t="s">
        <v>79</v>
      </c>
      <c r="C215" t="s">
        <v>970</v>
      </c>
      <c r="D215" t="b">
        <v>1</v>
      </c>
      <c r="E215" t="b">
        <v>1</v>
      </c>
      <c r="F215">
        <v>0</v>
      </c>
      <c r="H215" t="s">
        <v>388</v>
      </c>
      <c r="I215" t="s">
        <v>971</v>
      </c>
      <c r="J215">
        <v>3779</v>
      </c>
      <c r="K215">
        <v>426</v>
      </c>
      <c r="L215">
        <v>2750</v>
      </c>
      <c r="M215">
        <v>2800</v>
      </c>
      <c r="N215">
        <f t="shared" si="5"/>
        <v>852</v>
      </c>
      <c r="O215">
        <v>838</v>
      </c>
      <c r="P215">
        <v>1</v>
      </c>
      <c r="Q215">
        <v>2</v>
      </c>
      <c r="R215">
        <v>0</v>
      </c>
      <c r="S215" t="s">
        <v>33</v>
      </c>
      <c r="T215" t="str">
        <f>HYPERLINK("https://images.diginfra.net/framed3.html?imagesetuuid=2a6123c7-d902-45f6-87fa-8a3cc39c1043&amp;uri=https://images.diginfra.net/iiif/NL-HaNA_1.01.02/3779/NL-HaNA_1.01.02_3779_0420.jpg", "viewer_url")</f>
        <v>viewer_url</v>
      </c>
      <c r="U215" s="1" t="str">
        <f>HYPERLINK("https://images.diginfra.net/iiif/NL-HaNA_1.01.02/3779/NL-HaNA_1.01.02_3779_0426.jpg/2750,2800,860,550/full/0/default.jpg", "iiif_url")</f>
        <v>iiif_url</v>
      </c>
      <c r="V215" t="s">
        <v>33</v>
      </c>
      <c r="W215" t="s">
        <v>972</v>
      </c>
      <c r="X215" t="str">
        <f>HYPERLINK("https://images.diginfra.net/framed3.html?imagesetuuid=2a6123c7-d902-45f6-87fa-8a3cc39c1043&amp;uri=https://images.diginfra.net/iiif/NL-HaNA_1.01.02/3779/NL-HaNA_1.01.02_3779_0419.jpg", "prev_meeting_viewer_url")</f>
        <v>prev_meeting_viewer_url</v>
      </c>
      <c r="Y215" t="str">
        <f>HYPERLINK("https://images.diginfra.net/iiif/NL-HaNA_1.01.02/3779/NL-HaNA_1.01.02_3779_0419.jpg/3550,1231,1109,2230/full/0/default.jpg", "prev_meeting_iiif_url")</f>
        <v>prev_meeting_iiif_url</v>
      </c>
      <c r="Z215" t="s">
        <v>33</v>
      </c>
      <c r="AA215" t="s">
        <v>973</v>
      </c>
      <c r="AB215" t="str">
        <f>HYPERLINK("https://images.diginfra.net/framed3.html?imagesetuuid=2a6123c7-d902-45f6-87fa-8a3cc39c1043&amp;uri=https://images.diginfra.net/iiif/NL-HaNA_1.01.02/3779/NL-HaNA_1.01.02_3779_0421.jpg", "next_meeting_viewer_url")</f>
        <v>next_meeting_viewer_url</v>
      </c>
      <c r="AC215" t="str">
        <f>HYPERLINK("https://images.diginfra.net/iiif/NL-HaNA_1.01.02/3779/NL-HaNA_1.01.02_3779_0421.jpg/1277,1391,1102,2084/full/0/default.jpg", "next_meeting_iiif_url")</f>
        <v>next_meeting_iiif_url</v>
      </c>
    </row>
    <row r="216" spans="1:29" x14ac:dyDescent="0.2">
      <c r="A216" t="s">
        <v>974</v>
      </c>
      <c r="B216" t="s">
        <v>63</v>
      </c>
      <c r="D216" t="b">
        <v>0</v>
      </c>
      <c r="E216" t="b">
        <v>0</v>
      </c>
      <c r="F216">
        <v>1</v>
      </c>
      <c r="G216">
        <v>1</v>
      </c>
      <c r="I216" t="s">
        <v>975</v>
      </c>
      <c r="J216">
        <v>3781</v>
      </c>
      <c r="K216">
        <v>152</v>
      </c>
      <c r="N216">
        <f t="shared" si="5"/>
        <v>304</v>
      </c>
      <c r="O216">
        <v>302</v>
      </c>
      <c r="P216">
        <v>0</v>
      </c>
      <c r="Q216">
        <v>3</v>
      </c>
      <c r="R216">
        <v>0</v>
      </c>
      <c r="S216" t="s">
        <v>33</v>
      </c>
      <c r="T216" t="str">
        <f>HYPERLINK("https://images.diginfra.net/framed3.html?imagesetuuid=7806433b-7f26-4d4e-8e76-37d108a188de&amp;uri=https://images.diginfra.net/iiif/NL-HaNA_1.01.02/3781/NL-HaNA_1.01.02_3781_0152.jpg", "viewer_url")</f>
        <v>viewer_url</v>
      </c>
      <c r="U216" t="str">
        <f>HYPERLINK("https://images.diginfra.net/iiif/NL-HaNA_1.01.02/3781/NL-HaNA_1.01.02_3781_0152.jpg/359,2604,1039,810/full/0/default.jpg", "iiif_url")</f>
        <v>iiif_url</v>
      </c>
      <c r="V216" t="s">
        <v>33</v>
      </c>
      <c r="W216" t="s">
        <v>976</v>
      </c>
      <c r="X216" t="str">
        <f>HYPERLINK("https://images.diginfra.net/framed3.html?imagesetuuid=7806433b-7f26-4d4e-8e76-37d108a188de&amp;uri=https://images.diginfra.net/iiif/NL-HaNA_1.01.02/3781/NL-HaNA_1.01.02_3781_0151.jpg", "prev_meeting_viewer_url")</f>
        <v>prev_meeting_viewer_url</v>
      </c>
      <c r="Y216" t="str">
        <f>HYPERLINK("https://images.diginfra.net/iiif/NL-HaNA_1.01.02/3781/NL-HaNA_1.01.02_3781_0151.jpg/1206,1270,1106,2207/full/0/default.jpg", "prev_meeting_iiif_url")</f>
        <v>prev_meeting_iiif_url</v>
      </c>
      <c r="Z216" t="s">
        <v>33</v>
      </c>
      <c r="AA216" t="s">
        <v>977</v>
      </c>
      <c r="AB216" t="str">
        <f>HYPERLINK("https://images.diginfra.net/framed3.html?imagesetuuid=7806433b-7f26-4d4e-8e76-37d108a188de&amp;uri=https://images.diginfra.net/iiif/NL-HaNA_1.01.02/3781/NL-HaNA_1.01.02_3781_0152.jpg", "next_meeting_viewer_url")</f>
        <v>next_meeting_viewer_url</v>
      </c>
      <c r="AC216" t="str">
        <f>HYPERLINK("https://images.diginfra.net/iiif/NL-HaNA_1.01.02/3781/NL-HaNA_1.01.02_3781_0152.jpg/359,2604,1039,810/full/0/default.jpg", "next_meeting_iiif_url")</f>
        <v>next_meeting_iiif_url</v>
      </c>
    </row>
    <row r="217" spans="1:29" x14ac:dyDescent="0.2">
      <c r="A217" t="s">
        <v>978</v>
      </c>
      <c r="B217" t="s">
        <v>59</v>
      </c>
      <c r="D217" t="b">
        <v>0</v>
      </c>
      <c r="E217" t="b">
        <v>0</v>
      </c>
      <c r="F217">
        <v>1</v>
      </c>
      <c r="G217">
        <v>1</v>
      </c>
      <c r="I217" t="s">
        <v>979</v>
      </c>
      <c r="J217">
        <v>3844</v>
      </c>
      <c r="K217">
        <v>127</v>
      </c>
      <c r="N217">
        <f t="shared" si="5"/>
        <v>254</v>
      </c>
      <c r="O217">
        <v>252</v>
      </c>
      <c r="P217">
        <v>1</v>
      </c>
      <c r="Q217">
        <v>2</v>
      </c>
      <c r="R217">
        <v>0</v>
      </c>
      <c r="S217" t="s">
        <v>33</v>
      </c>
      <c r="T217" t="str">
        <f>HYPERLINK("https://images.diginfra.net/framed3.html?imagesetuuid=61690246-944a-4d63-9d72-95ab6a0a9306&amp;uri=https://images.diginfra.net/iiif/NL-HaNA_1.01.02/3844/NL-HaNA_1.01.02_3844_0127.jpg", "viewer_url")</f>
        <v>viewer_url</v>
      </c>
      <c r="U217" t="str">
        <f>HYPERLINK("https://images.diginfra.net/iiif/NL-HaNA_1.01.02/3844/NL-HaNA_1.01.02_3844_0127.jpg/1298,1268,1105,2039/full/0/default.jpg", "iiif_url")</f>
        <v>iiif_url</v>
      </c>
      <c r="V217" t="s">
        <v>33</v>
      </c>
      <c r="W217" t="s">
        <v>980</v>
      </c>
      <c r="X217" t="str">
        <f>HYPERLINK("https://images.diginfra.net/framed3.html?imagesetuuid=61690246-944a-4d63-9d72-95ab6a0a9306&amp;uri=https://images.diginfra.net/iiif/NL-HaNA_1.01.02/3844/NL-HaNA_1.01.02_3844_0125.jpg", "prev_meeting_viewer_url")</f>
        <v>prev_meeting_viewer_url</v>
      </c>
      <c r="Y217" t="str">
        <f>HYPERLINK("https://images.diginfra.net/iiif/NL-HaNA_1.01.02/3844/NL-HaNA_1.01.02_3844_0125.jpg/365,506,1091,2757/full/0/default.jpg", "prev_meeting_iiif_url")</f>
        <v>prev_meeting_iiif_url</v>
      </c>
      <c r="Z217" t="s">
        <v>33</v>
      </c>
      <c r="AA217" t="s">
        <v>981</v>
      </c>
      <c r="AB217" t="str">
        <f>HYPERLINK("https://images.diginfra.net/framed3.html?imagesetuuid=61690246-944a-4d63-9d72-95ab6a0a9306&amp;uri=https://images.diginfra.net/iiif/NL-HaNA_1.01.02/3844/NL-HaNA_1.01.02_3844_0127.jpg", "next_meeting_viewer_url")</f>
        <v>next_meeting_viewer_url</v>
      </c>
      <c r="AC217" t="str">
        <f>HYPERLINK("https://images.diginfra.net/iiif/NL-HaNA_1.01.02/3844/NL-HaNA_1.01.02_3844_0127.jpg/1298,1268,1105,2039/full/0/default.jpg", "next_meeting_iiif_url")</f>
        <v>next_meeting_iiif_url</v>
      </c>
    </row>
    <row r="218" spans="1:29" x14ac:dyDescent="0.2">
      <c r="A218" t="s">
        <v>982</v>
      </c>
      <c r="B218" t="s">
        <v>59</v>
      </c>
      <c r="D218" t="b">
        <v>0</v>
      </c>
      <c r="E218" t="b">
        <v>0</v>
      </c>
      <c r="F218">
        <v>1</v>
      </c>
      <c r="G218">
        <v>1</v>
      </c>
      <c r="I218" t="s">
        <v>983</v>
      </c>
      <c r="J218">
        <v>3822</v>
      </c>
      <c r="K218">
        <v>200</v>
      </c>
      <c r="N218">
        <f t="shared" si="5"/>
        <v>400</v>
      </c>
      <c r="O218">
        <v>399</v>
      </c>
      <c r="P218">
        <v>0</v>
      </c>
      <c r="Q218">
        <v>0</v>
      </c>
      <c r="R218">
        <v>18</v>
      </c>
      <c r="S218" t="s">
        <v>33</v>
      </c>
      <c r="T218" t="str">
        <f>HYPERLINK("https://images.diginfra.net/framed3.html?imagesetuuid=e0965315-891d-46c1-9dac-fc6b729921cf&amp;uri=https://images.diginfra.net/iiif/NL-HaNA_1.01.02/3822/NL-HaNA_1.01.02_3822_0200.jpg", "viewer_url")</f>
        <v>viewer_url</v>
      </c>
      <c r="U218" t="str">
        <f>HYPERLINK("https://images.diginfra.net/iiif/NL-HaNA_1.01.02/3822/NL-HaNA_1.01.02_3822_0200.jpg/2324,1024,1074,2266/full/0/default.jpg", "iiif_url")</f>
        <v>iiif_url</v>
      </c>
      <c r="V218" t="s">
        <v>33</v>
      </c>
      <c r="W218" t="s">
        <v>984</v>
      </c>
      <c r="X218" t="str">
        <f>HYPERLINK("https://images.diginfra.net/framed3.html?imagesetuuid=e0965315-891d-46c1-9dac-fc6b729921cf&amp;uri=https://images.diginfra.net/iiif/NL-HaNA_1.01.02/3822/NL-HaNA_1.01.02_3822_0199.jpg", "prev_meeting_viewer_url")</f>
        <v>prev_meeting_viewer_url</v>
      </c>
      <c r="Y218" t="str">
        <f>HYPERLINK("https://images.diginfra.net/iiif/NL-HaNA_1.01.02/3822/NL-HaNA_1.01.02_3822_0199.jpg/234,525,1082,2836/full/0/default.jpg", "prev_meeting_iiif_url")</f>
        <v>prev_meeting_iiif_url</v>
      </c>
      <c r="Z218" t="s">
        <v>33</v>
      </c>
      <c r="AA218" t="s">
        <v>985</v>
      </c>
      <c r="AB218" t="str">
        <f>HYPERLINK("https://images.diginfra.net/framed3.html?imagesetuuid=e0965315-891d-46c1-9dac-fc6b729921cf&amp;uri=https://images.diginfra.net/iiif/NL-HaNA_1.01.02/3822/NL-HaNA_1.01.02_3822_0200.jpg", "next_meeting_viewer_url")</f>
        <v>next_meeting_viewer_url</v>
      </c>
      <c r="AC218" t="str">
        <f>HYPERLINK("https://images.diginfra.net/iiif/NL-HaNA_1.01.02/3822/NL-HaNA_1.01.02_3822_0200.jpg/2324,1024,1074,2266/full/0/default.jpg", "next_meeting_iiif_url")</f>
        <v>next_meeting_iiif_url</v>
      </c>
    </row>
    <row r="219" spans="1:29" x14ac:dyDescent="0.2">
      <c r="A219" t="s">
        <v>986</v>
      </c>
      <c r="B219" t="s">
        <v>63</v>
      </c>
      <c r="D219" t="b">
        <v>0</v>
      </c>
      <c r="E219" t="b">
        <v>0</v>
      </c>
      <c r="F219">
        <v>1</v>
      </c>
      <c r="G219">
        <v>1</v>
      </c>
      <c r="I219" t="s">
        <v>987</v>
      </c>
      <c r="J219">
        <v>3787</v>
      </c>
      <c r="K219">
        <v>207</v>
      </c>
      <c r="N219">
        <f t="shared" si="5"/>
        <v>414</v>
      </c>
      <c r="O219">
        <v>412</v>
      </c>
      <c r="P219">
        <v>1</v>
      </c>
      <c r="Q219">
        <v>1</v>
      </c>
      <c r="R219">
        <v>0</v>
      </c>
      <c r="S219" t="s">
        <v>33</v>
      </c>
      <c r="T219" t="str">
        <f>HYPERLINK("https://images.diginfra.net/framed3.html?imagesetuuid=db7b00f7-0cd1-4078-9123-41ccf17bd821&amp;uri=https://images.diginfra.net/iiif/NL-HaNA_1.01.02/3787/NL-HaNA_1.01.02_3787_0207.jpg", "viewer_url")</f>
        <v>viewer_url</v>
      </c>
      <c r="U219" t="str">
        <f>HYPERLINK("https://images.diginfra.net/iiif/NL-HaNA_1.01.02/3787/NL-HaNA_1.01.02_3787_0207.jpg/1148,715,1108,2668/full/0/default.jpg", "iiif_url")</f>
        <v>iiif_url</v>
      </c>
      <c r="V219" t="s">
        <v>33</v>
      </c>
      <c r="W219" t="s">
        <v>988</v>
      </c>
      <c r="X219" t="str">
        <f>HYPERLINK("https://images.diginfra.net/framed3.html?imagesetuuid=db7b00f7-0cd1-4078-9123-41ccf17bd821&amp;uri=https://images.diginfra.net/iiif/NL-HaNA_1.01.02/3787/NL-HaNA_1.01.02_3787_0205.jpg", "prev_meeting_viewer_url")</f>
        <v>prev_meeting_viewer_url</v>
      </c>
      <c r="Y219" t="str">
        <f>HYPERLINK("https://images.diginfra.net/iiif/NL-HaNA_1.01.02/3787/NL-HaNA_1.01.02_3787_0205.jpg/2314,1904,1074,1419/full/0/default.jpg", "prev_meeting_iiif_url")</f>
        <v>prev_meeting_iiif_url</v>
      </c>
      <c r="Z219" t="s">
        <v>33</v>
      </c>
      <c r="AA219" t="s">
        <v>989</v>
      </c>
      <c r="AB219" t="str">
        <f>HYPERLINK("https://images.diginfra.net/framed3.html?imagesetuuid=db7b00f7-0cd1-4078-9123-41ccf17bd821&amp;uri=https://images.diginfra.net/iiif/NL-HaNA_1.01.02/3787/NL-HaNA_1.01.02_3787_0207.jpg", "next_meeting_viewer_url")</f>
        <v>next_meeting_viewer_url</v>
      </c>
      <c r="AC219" t="str">
        <f>HYPERLINK("https://images.diginfra.net/iiif/NL-HaNA_1.01.02/3787/NL-HaNA_1.01.02_3787_0207.jpg/1148,715,1108,2668/full/0/default.jpg", "next_meeting_iiif_url")</f>
        <v>next_meeting_iiif_url</v>
      </c>
    </row>
    <row r="220" spans="1:29" x14ac:dyDescent="0.2">
      <c r="A220" t="s">
        <v>990</v>
      </c>
      <c r="B220" t="s">
        <v>85</v>
      </c>
      <c r="C220" t="s">
        <v>991</v>
      </c>
      <c r="D220" t="b">
        <v>1</v>
      </c>
      <c r="E220" t="b">
        <v>1</v>
      </c>
      <c r="F220">
        <v>1</v>
      </c>
      <c r="I220" t="s">
        <v>992</v>
      </c>
      <c r="J220">
        <v>3815</v>
      </c>
      <c r="K220">
        <v>299</v>
      </c>
      <c r="L220">
        <v>2386</v>
      </c>
      <c r="M220">
        <v>3025</v>
      </c>
      <c r="N220">
        <f t="shared" si="5"/>
        <v>598</v>
      </c>
      <c r="O220">
        <v>597</v>
      </c>
      <c r="P220">
        <v>0</v>
      </c>
      <c r="Q220">
        <v>2</v>
      </c>
      <c r="R220">
        <v>14</v>
      </c>
      <c r="S220" t="s">
        <v>33</v>
      </c>
      <c r="T220" t="str">
        <f>HYPERLINK("https://images.diginfra.net/framed3.html?imagesetuuid=c649f39d-5b94-4d9d-8000-33acd4342c36&amp;uri=https://images.diginfra.net/iiif/NL-HaNA_1.01.02/3815/NL-HaNA_1.01.02_3815_0299.jpg", "viewer_url")</f>
        <v>viewer_url</v>
      </c>
      <c r="U220" t="str">
        <f>HYPERLINK("https://images.diginfra.net/iiif/NL-HaNA_1.01.02/3815/NL-HaNA_1.01.02_3815_0299.jpg/2386,3025,905,373/full/0/default.jpg", "iiif_url")</f>
        <v>iiif_url</v>
      </c>
      <c r="V220" t="s">
        <v>33</v>
      </c>
      <c r="X220" t="str">
        <f>HYPERLINK("https://images.diginfra.net/framed3.html?imagesetuuid=c649f39d-5b94-4d9d-8000-33acd4342c36&amp;uri=https://images.diginfra.net/iiif/NL-HaNA_1.01.02/3815/NL-HaNA_1.01.02_3815_0297.jpg", "prev_meeting_viewer_url")</f>
        <v>prev_meeting_viewer_url</v>
      </c>
      <c r="Y220" t="str">
        <f>HYPERLINK("https://images.diginfra.net/iiif/NL-HaNA_1.01.02/3815/NL-HaNA_1.01.02_3815_0297.jpg/1233,353,1107,3121/full/0/default.jpg", "prev_meeting_iiif_url")</f>
        <v>prev_meeting_iiif_url</v>
      </c>
      <c r="Z220" t="s">
        <v>33</v>
      </c>
      <c r="AA220" t="s">
        <v>993</v>
      </c>
      <c r="AB220" t="str">
        <f>HYPERLINK("https://images.diginfra.net/framed3.html?imagesetuuid=c649f39d-5b94-4d9d-8000-33acd4342c36&amp;uri=https://images.diginfra.net/iiif/NL-HaNA_1.01.02/3815/NL-HaNA_1.01.02_3815_0301.jpg", "next_meeting_viewer_url")</f>
        <v>next_meeting_viewer_url</v>
      </c>
      <c r="AC220" t="str">
        <f>HYPERLINK("https://images.diginfra.net/iiif/NL-HaNA_1.01.02/3815/NL-HaNA_1.01.02_3815_0301.jpg/3357,2898,1051,514/full/0/default.jpg", "next_meeting_iiif_url")</f>
        <v>next_meeting_iiif_url</v>
      </c>
    </row>
    <row r="221" spans="1:29" x14ac:dyDescent="0.2">
      <c r="A221" t="s">
        <v>994</v>
      </c>
      <c r="B221" t="s">
        <v>48</v>
      </c>
      <c r="C221" t="s">
        <v>995</v>
      </c>
      <c r="D221" t="b">
        <v>1</v>
      </c>
      <c r="E221" t="b">
        <v>1</v>
      </c>
      <c r="F221">
        <v>1</v>
      </c>
      <c r="I221" t="s">
        <v>996</v>
      </c>
      <c r="J221">
        <v>3824</v>
      </c>
      <c r="K221">
        <v>217</v>
      </c>
      <c r="L221">
        <v>1275</v>
      </c>
      <c r="M221">
        <v>1920</v>
      </c>
      <c r="N221">
        <f t="shared" si="5"/>
        <v>434</v>
      </c>
      <c r="O221">
        <v>432</v>
      </c>
      <c r="P221">
        <v>1</v>
      </c>
      <c r="Q221">
        <v>3</v>
      </c>
      <c r="R221">
        <v>0</v>
      </c>
      <c r="S221" t="s">
        <v>44</v>
      </c>
      <c r="T221" t="str">
        <f>HYPERLINK("https://images.diginfra.net/framed3.html?imagesetuuid=dd191040-86df-4eff-a597-814a829dbed3&amp;uri=https://images.diginfra.net/iiif/NL-HaNA_1.01.02/3824/NL-HaNA_1.01.02_3824_0217.jpg", "viewer_url")</f>
        <v>viewer_url</v>
      </c>
      <c r="U221" t="str">
        <f>HYPERLINK("https://images.diginfra.net/iiif/NL-HaNA_1.01.02/3824/NL-HaNA_1.01.02_3824_0217.jpg/1275,1920,1034,1483/full/0/default.jpg", "iiif_url")</f>
        <v>iiif_url</v>
      </c>
    </row>
    <row r="222" spans="1:29" x14ac:dyDescent="0.2">
      <c r="A222" t="s">
        <v>997</v>
      </c>
      <c r="B222" t="s">
        <v>48</v>
      </c>
      <c r="C222" t="s">
        <v>998</v>
      </c>
      <c r="D222" t="b">
        <v>1</v>
      </c>
      <c r="E222" t="b">
        <v>1</v>
      </c>
      <c r="F222">
        <v>1</v>
      </c>
      <c r="I222" t="s">
        <v>999</v>
      </c>
      <c r="J222">
        <v>3841</v>
      </c>
      <c r="K222">
        <v>273</v>
      </c>
      <c r="L222">
        <v>211</v>
      </c>
      <c r="M222">
        <v>1172</v>
      </c>
      <c r="N222">
        <f t="shared" si="5"/>
        <v>546</v>
      </c>
      <c r="O222">
        <v>544</v>
      </c>
      <c r="P222">
        <v>0</v>
      </c>
      <c r="Q222">
        <v>1</v>
      </c>
      <c r="R222">
        <v>0</v>
      </c>
      <c r="S222" t="s">
        <v>33</v>
      </c>
      <c r="T222" t="str">
        <f>HYPERLINK("https://images.diginfra.net/framed3.html?imagesetuuid=47881e95-07b9-4c17-8cf4-b55a034c8db2&amp;uri=https://images.diginfra.net/iiif/NL-HaNA_1.01.02/3841/NL-HaNA_1.01.02_3841_0273.jpg", "viewer_url")</f>
        <v>viewer_url</v>
      </c>
      <c r="U222" t="str">
        <f>HYPERLINK("https://images.diginfra.net/iiif/NL-HaNA_1.01.02/3841/NL-HaNA_1.01.02_3841_0273.jpg/211,1172,1068,2265/full/0/default.jpg", "iiif_url")</f>
        <v>iiif_url</v>
      </c>
      <c r="Z222" t="s">
        <v>33</v>
      </c>
      <c r="AA222" t="s">
        <v>1000</v>
      </c>
      <c r="AB222" t="str">
        <f>HYPERLINK("https://images.diginfra.net/framed3.html?imagesetuuid=47881e95-07b9-4c17-8cf4-b55a034c8db2&amp;uri=https://images.diginfra.net/iiif/NL-HaNA_1.01.02/3841/NL-HaNA_1.01.02_3841_0279.jpg", "next_meeting_viewer_url")</f>
        <v>next_meeting_viewer_url</v>
      </c>
      <c r="AC222" t="str">
        <f>HYPERLINK("https://images.diginfra.net/iiif/NL-HaNA_1.01.02/3841/NL-HaNA_1.01.02_3841_0279.jpg/1170,981,1087,2426/full/0/default.jpg", "next_meeting_iiif_url")</f>
        <v>next_meeting_iiif_url</v>
      </c>
    </row>
    <row r="223" spans="1:29" x14ac:dyDescent="0.2">
      <c r="A223" t="s">
        <v>1001</v>
      </c>
      <c r="B223" t="s">
        <v>48</v>
      </c>
      <c r="C223" t="s">
        <v>1002</v>
      </c>
      <c r="D223" t="b">
        <v>1</v>
      </c>
      <c r="E223" t="b">
        <v>1</v>
      </c>
      <c r="F223">
        <v>1</v>
      </c>
      <c r="I223" t="s">
        <v>1003</v>
      </c>
      <c r="J223">
        <v>3814</v>
      </c>
      <c r="K223">
        <v>195</v>
      </c>
      <c r="L223">
        <v>2425</v>
      </c>
      <c r="M223">
        <v>841</v>
      </c>
      <c r="N223">
        <f t="shared" si="5"/>
        <v>390</v>
      </c>
      <c r="O223">
        <v>389</v>
      </c>
      <c r="P223">
        <v>0</v>
      </c>
      <c r="Q223">
        <v>1</v>
      </c>
      <c r="R223">
        <v>2</v>
      </c>
      <c r="S223" t="s">
        <v>33</v>
      </c>
      <c r="T223" t="str">
        <f>HYPERLINK("https://images.diginfra.net/framed3.html?imagesetuuid=a95427fd-d131-4f1b-a2ee-069d038f458a&amp;uri=https://images.diginfra.net/iiif/NL-HaNA_1.01.02/3814/NL-HaNA_1.01.02_3814_0195.jpg", "viewer_url")</f>
        <v>viewer_url</v>
      </c>
      <c r="U223" t="str">
        <f>HYPERLINK("https://images.diginfra.net/iiif/NL-HaNA_1.01.02/3814/NL-HaNA_1.01.02_3814_0195.jpg/2425,841,1095,2592/full/0/default.jpg", "iiif_url")</f>
        <v>iiif_url</v>
      </c>
      <c r="V223" t="s">
        <v>33</v>
      </c>
      <c r="W223" t="s">
        <v>1004</v>
      </c>
      <c r="X223" t="str">
        <f>HYPERLINK("https://images.diginfra.net/framed3.html?imagesetuuid=a95427fd-d131-4f1b-a2ee-069d038f458a&amp;uri=https://images.diginfra.net/iiif/NL-HaNA_1.01.02/3814/NL-HaNA_1.01.02_3814_0193.jpg", "prev_meeting_viewer_url")</f>
        <v>prev_meeting_viewer_url</v>
      </c>
      <c r="Y223" t="str">
        <f>HYPERLINK("https://images.diginfra.net/iiif/NL-HaNA_1.01.02/3814/NL-HaNA_1.01.02_3814_0193.jpg/340,307,1092,3099/full/0/default.jpg", "prev_meeting_iiif_url")</f>
        <v>prev_meeting_iiif_url</v>
      </c>
      <c r="Z223" t="s">
        <v>33</v>
      </c>
      <c r="AA223" t="s">
        <v>1005</v>
      </c>
      <c r="AB223" t="str">
        <f>HYPERLINK("https://images.diginfra.net/framed3.html?imagesetuuid=a95427fd-d131-4f1b-a2ee-069d038f458a&amp;uri=https://images.diginfra.net/iiif/NL-HaNA_1.01.02/3814/NL-HaNA_1.01.02_3814_0198.jpg", "next_meeting_viewer_url")</f>
        <v>next_meeting_viewer_url</v>
      </c>
      <c r="AC223" t="str">
        <f>HYPERLINK("https://images.diginfra.net/iiif/NL-HaNA_1.01.02/3814/NL-HaNA_1.01.02_3814_0198.jpg/1322,2068,1066,1219/full/0/default.jpg", "next_meeting_iiif_url")</f>
        <v>next_meeting_iiif_url</v>
      </c>
    </row>
    <row r="224" spans="1:29" x14ac:dyDescent="0.2">
      <c r="A224" t="s">
        <v>1006</v>
      </c>
      <c r="B224" t="s">
        <v>30</v>
      </c>
      <c r="C224" t="s">
        <v>649</v>
      </c>
      <c r="D224" t="b">
        <v>1</v>
      </c>
      <c r="E224" t="b">
        <v>1</v>
      </c>
      <c r="F224">
        <v>1</v>
      </c>
      <c r="I224" t="s">
        <v>1007</v>
      </c>
      <c r="J224">
        <v>3852</v>
      </c>
      <c r="K224">
        <v>525</v>
      </c>
      <c r="L224">
        <v>1269</v>
      </c>
      <c r="M224">
        <v>2435</v>
      </c>
      <c r="N224">
        <f t="shared" si="5"/>
        <v>1050</v>
      </c>
      <c r="O224">
        <v>1048</v>
      </c>
      <c r="P224">
        <v>1</v>
      </c>
      <c r="Q224">
        <v>2</v>
      </c>
      <c r="R224">
        <v>0</v>
      </c>
      <c r="S224" t="s">
        <v>33</v>
      </c>
      <c r="T224" t="str">
        <f>HYPERLINK("https://images.diginfra.net/framed3.html?imagesetuuid=3b3d915a-84ba-4c76-9942-747a007cc965&amp;uri=https://images.diginfra.net/iiif/NL-HaNA_1.01.02/3852/NL-HaNA_1.01.02_3852_0525.jpg", "viewer_url")</f>
        <v>viewer_url</v>
      </c>
      <c r="U224" t="str">
        <f>HYPERLINK("https://images.diginfra.net/iiif/NL-HaNA_1.01.02/3852/NL-HaNA_1.01.02_3852_0525.jpg/1269,2435,1033,989/full/0/default.jpg", "iiif_url")</f>
        <v>iiif_url</v>
      </c>
      <c r="V224" t="s">
        <v>33</v>
      </c>
      <c r="W224" t="s">
        <v>1008</v>
      </c>
      <c r="X224" t="str">
        <f>HYPERLINK("https://images.diginfra.net/framed3.html?imagesetuuid=3b3d915a-84ba-4c76-9942-747a007cc965&amp;uri=https://images.diginfra.net/iiif/NL-HaNA_1.01.02/3852/NL-HaNA_1.01.02_3852_0522.jpg", "prev_meeting_viewer_url")</f>
        <v>prev_meeting_viewer_url</v>
      </c>
      <c r="Y224" t="str">
        <f>HYPERLINK("https://images.diginfra.net/iiif/NL-HaNA_1.01.02/3852/NL-HaNA_1.01.02_3852_0522.jpg/3356,764,1070,2672/full/0/default.jpg", "prev_meeting_iiif_url")</f>
        <v>prev_meeting_iiif_url</v>
      </c>
      <c r="Z224" t="s">
        <v>33</v>
      </c>
      <c r="AA224" t="s">
        <v>1009</v>
      </c>
      <c r="AB224" t="str">
        <f>HYPERLINK("https://images.diginfra.net/framed3.html?imagesetuuid=3b3d915a-84ba-4c76-9942-747a007cc965&amp;uri=https://images.diginfra.net/iiif/NL-HaNA_1.01.02/3852/NL-HaNA_1.01.02_3852_0526.jpg", "next_meeting_viewer_url")</f>
        <v>next_meeting_viewer_url</v>
      </c>
      <c r="AC224" t="str">
        <f>HYPERLINK("https://images.diginfra.net/iiif/NL-HaNA_1.01.02/3852/NL-HaNA_1.01.02_3852_0526.jpg/296,325,1078,3136/full/0/default.jpg", "next_meeting_iiif_url")</f>
        <v>next_meeting_iiif_url</v>
      </c>
    </row>
    <row r="225" spans="1:29" x14ac:dyDescent="0.2">
      <c r="A225" t="s">
        <v>1010</v>
      </c>
      <c r="B225" t="s">
        <v>79</v>
      </c>
      <c r="D225" t="b">
        <v>1</v>
      </c>
      <c r="E225" t="b">
        <v>1</v>
      </c>
      <c r="F225">
        <v>1</v>
      </c>
      <c r="J225">
        <v>3777</v>
      </c>
      <c r="K225">
        <v>467</v>
      </c>
      <c r="L225">
        <v>1345</v>
      </c>
      <c r="M225">
        <v>725</v>
      </c>
      <c r="N225">
        <f t="shared" si="5"/>
        <v>934</v>
      </c>
      <c r="O225">
        <v>942</v>
      </c>
      <c r="P225">
        <v>1</v>
      </c>
      <c r="T225" t="str">
        <f>HYPERLINK("None", "viewer_url")</f>
        <v>viewer_url</v>
      </c>
      <c r="U225" t="str">
        <f>HYPERLINK("https://images.diginfra.net/iiif/NL-HaNA_1.01.02/3777/NL-HaNA_1.01.02_3777_0467.jpg/1345,725,918,2565/full/0/default.jpg", "iiif_url")</f>
        <v>iiif_url</v>
      </c>
      <c r="V225" t="s">
        <v>44</v>
      </c>
      <c r="W225" t="s">
        <v>1011</v>
      </c>
      <c r="X225" t="str">
        <f>HYPERLINK("https://images.diginfra.net/framed3.html?imagesetuuid=d79a5b0f-25ac-4440-9b23-adc237614d07&amp;uri=https://images.diginfra.net/iiif/NL-HaNA_1.01.02/3777/NL-HaNA_1.01.02_3777_0465.jpg", "prev_meeting_viewer_url")</f>
        <v>prev_meeting_viewer_url</v>
      </c>
      <c r="Y225" t="str">
        <f>HYPERLINK("https://images.diginfra.net/iiif/NL-HaNA_1.01.02/3777/NL-HaNA_1.01.02_3777_0465.jpg/3540,2490,1053,901/full/0/default.jpg", "prev_meeting_iiif_url")</f>
        <v>prev_meeting_iiif_url</v>
      </c>
    </row>
    <row r="226" spans="1:29" x14ac:dyDescent="0.2">
      <c r="A226" t="s">
        <v>1012</v>
      </c>
      <c r="B226" t="s">
        <v>59</v>
      </c>
      <c r="C226" t="s">
        <v>1013</v>
      </c>
      <c r="D226" t="b">
        <v>1</v>
      </c>
      <c r="E226" t="b">
        <v>1</v>
      </c>
      <c r="F226">
        <v>1</v>
      </c>
      <c r="I226" t="s">
        <v>1014</v>
      </c>
      <c r="J226">
        <v>3801</v>
      </c>
      <c r="K226">
        <v>429</v>
      </c>
      <c r="L226">
        <v>328</v>
      </c>
      <c r="M226">
        <v>251</v>
      </c>
      <c r="N226">
        <f t="shared" si="5"/>
        <v>858</v>
      </c>
      <c r="O226">
        <v>856</v>
      </c>
      <c r="P226">
        <v>0</v>
      </c>
      <c r="Q226">
        <v>0</v>
      </c>
      <c r="R226">
        <v>0</v>
      </c>
      <c r="S226" t="s">
        <v>33</v>
      </c>
      <c r="T226" t="str">
        <f>HYPERLINK("https://images.diginfra.net/framed3.html?imagesetuuid=f36c8416-59a8-4b1a-a82a-ef225cbd1971&amp;uri=https://images.diginfra.net/iiif/NL-HaNA_1.01.02/3801/NL-HaNA_1.01.02_3801_0429.jpg", "viewer_url")</f>
        <v>viewer_url</v>
      </c>
      <c r="U226" t="str">
        <f>HYPERLINK("https://images.diginfra.net/iiif/NL-HaNA_1.01.02/3801/NL-HaNA_1.01.02_3801_0429.jpg/328,251,1092,3113/full/0/default.jpg", "iiif_url")</f>
        <v>iiif_url</v>
      </c>
      <c r="V226" t="s">
        <v>33</v>
      </c>
      <c r="W226" t="s">
        <v>1015</v>
      </c>
      <c r="X226" t="str">
        <f>HYPERLINK("https://images.diginfra.net/framed3.html?imagesetuuid=f36c8416-59a8-4b1a-a82a-ef225cbd1971&amp;uri=https://images.diginfra.net/iiif/NL-HaNA_1.01.02/3801/NL-HaNA_1.01.02_3801_0427.jpg", "prev_meeting_viewer_url")</f>
        <v>prev_meeting_viewer_url</v>
      </c>
      <c r="Y226" t="str">
        <f>HYPERLINK("https://images.diginfra.net/iiif/NL-HaNA_1.01.02/3801/NL-HaNA_1.01.02_3801_0427.jpg/3336,1482,1113,1855/full/0/default.jpg", "prev_meeting_iiif_url")</f>
        <v>prev_meeting_iiif_url</v>
      </c>
      <c r="Z226" t="s">
        <v>33</v>
      </c>
      <c r="AA226" t="s">
        <v>655</v>
      </c>
      <c r="AB226" t="str">
        <f>HYPERLINK("https://images.diginfra.net/framed3.html?imagesetuuid=f36c8416-59a8-4b1a-a82a-ef225cbd1971&amp;uri=https://images.diginfra.net/iiif/NL-HaNA_1.01.02/3801/NL-HaNA_1.01.02_3801_0429.jpg", "next_meeting_viewer_url")</f>
        <v>next_meeting_viewer_url</v>
      </c>
      <c r="AC226" t="str">
        <f>HYPERLINK("https://images.diginfra.net/iiif/NL-HaNA_1.01.02/3801/NL-HaNA_1.01.02_3801_0429.jpg/3304,1244,1088,2149/full/0/default.jpg", "next_meeting_iiif_url")</f>
        <v>next_meeting_iiif_url</v>
      </c>
    </row>
    <row r="227" spans="1:29" x14ac:dyDescent="0.2">
      <c r="A227" t="s">
        <v>1016</v>
      </c>
      <c r="B227" t="s">
        <v>37</v>
      </c>
      <c r="D227" t="b">
        <v>1</v>
      </c>
      <c r="E227" t="b">
        <v>1</v>
      </c>
      <c r="F227">
        <v>1</v>
      </c>
      <c r="I227" t="s">
        <v>1017</v>
      </c>
      <c r="J227">
        <v>3819</v>
      </c>
      <c r="K227">
        <v>409</v>
      </c>
      <c r="L227">
        <v>1217</v>
      </c>
      <c r="M227">
        <v>268</v>
      </c>
      <c r="N227">
        <f t="shared" si="5"/>
        <v>818</v>
      </c>
      <c r="O227">
        <v>816</v>
      </c>
      <c r="P227">
        <v>1</v>
      </c>
      <c r="Q227">
        <v>0</v>
      </c>
      <c r="R227">
        <v>0</v>
      </c>
      <c r="S227" t="s">
        <v>33</v>
      </c>
      <c r="T227" t="str">
        <f>HYPERLINK("https://images.diginfra.net/framed3.html?imagesetuuid=711b4f86-3dbd-47ca-af9d-52eb1c30bc58&amp;uri=https://images.diginfra.net/iiif/NL-HaNA_1.01.02/3819/NL-HaNA_1.01.02_3819_0409.jpg", "viewer_url")</f>
        <v>viewer_url</v>
      </c>
      <c r="U227" t="str">
        <f>HYPERLINK("https://images.diginfra.net/iiif/NL-HaNA_1.01.02/3819/NL-HaNA_1.01.02_3819_0409.jpg/1217,268,1114,3054/full/0/default.jpg", "iiif_url")</f>
        <v>iiif_url</v>
      </c>
      <c r="V227" t="s">
        <v>33</v>
      </c>
      <c r="W227" t="s">
        <v>1018</v>
      </c>
      <c r="X227" t="str">
        <f>HYPERLINK("https://images.diginfra.net/framed3.html?imagesetuuid=711b4f86-3dbd-47ca-af9d-52eb1c30bc58&amp;uri=https://images.diginfra.net/iiif/NL-HaNA_1.01.02/3819/NL-HaNA_1.01.02_3819_0408.jpg", "prev_meeting_viewer_url")</f>
        <v>prev_meeting_viewer_url</v>
      </c>
      <c r="Y227" t="str">
        <f>HYPERLINK("https://images.diginfra.net/iiif/NL-HaNA_1.01.02/3819/NL-HaNA_1.01.02_3819_0408.jpg/1225,1714,1101,1582/full/0/default.jpg", "prev_meeting_iiif_url")</f>
        <v>prev_meeting_iiif_url</v>
      </c>
      <c r="Z227" t="s">
        <v>33</v>
      </c>
      <c r="AA227" t="s">
        <v>1019</v>
      </c>
      <c r="AB227" t="str">
        <f>HYPERLINK("https://images.diginfra.net/framed3.html?imagesetuuid=711b4f86-3dbd-47ca-af9d-52eb1c30bc58&amp;uri=https://images.diginfra.net/iiif/NL-HaNA_1.01.02/3819/NL-HaNA_1.01.02_3819_0409.jpg", "next_meeting_viewer_url")</f>
        <v>next_meeting_viewer_url</v>
      </c>
      <c r="AC227" t="str">
        <f>HYPERLINK("https://images.diginfra.net/iiif/NL-HaNA_1.01.02/3819/NL-HaNA_1.01.02_3819_0409.jpg/3373,998,1101,2346/full/0/default.jpg", "next_meeting_iiif_url")</f>
        <v>next_meeting_iiif_url</v>
      </c>
    </row>
    <row r="228" spans="1:29" x14ac:dyDescent="0.2">
      <c r="A228" t="s">
        <v>1020</v>
      </c>
      <c r="B228" t="s">
        <v>48</v>
      </c>
      <c r="C228" t="s">
        <v>1021</v>
      </c>
      <c r="D228" t="b">
        <v>1</v>
      </c>
      <c r="E228" t="b">
        <v>1</v>
      </c>
      <c r="F228">
        <v>1</v>
      </c>
      <c r="I228" t="s">
        <v>1022</v>
      </c>
      <c r="J228">
        <v>3855</v>
      </c>
      <c r="K228">
        <v>46</v>
      </c>
      <c r="L228">
        <v>342</v>
      </c>
      <c r="M228">
        <v>1467</v>
      </c>
      <c r="N228">
        <f t="shared" si="5"/>
        <v>92</v>
      </c>
      <c r="O228">
        <v>90</v>
      </c>
      <c r="P228">
        <v>0</v>
      </c>
      <c r="Q228">
        <v>1</v>
      </c>
      <c r="R228">
        <v>0</v>
      </c>
      <c r="S228" t="s">
        <v>33</v>
      </c>
      <c r="T228" t="str">
        <f>HYPERLINK("https://images.diginfra.net/framed3.html?imagesetuuid=5244deb9-8f97-4a39-89ba-6da1d308b8f5&amp;uri=https://images.diginfra.net/iiif/NL-HaNA_1.01.02/3855/NL-HaNA_1.01.02_3855_0046.jpg", "viewer_url")</f>
        <v>viewer_url</v>
      </c>
      <c r="U228" t="str">
        <f>HYPERLINK("https://images.diginfra.net/iiif/NL-HaNA_1.01.02/3855/NL-HaNA_1.01.02_3855_0046.jpg/342,1467,1077,1907/full/0/default.jpg", "iiif_url")</f>
        <v>iiif_url</v>
      </c>
      <c r="V228" t="s">
        <v>33</v>
      </c>
      <c r="W228" t="s">
        <v>1023</v>
      </c>
      <c r="X228" t="str">
        <f>HYPERLINK("https://images.diginfra.net/framed3.html?imagesetuuid=5244deb9-8f97-4a39-89ba-6da1d308b8f5&amp;uri=https://images.diginfra.net/iiif/NL-HaNA_1.01.02/3855/NL-HaNA_1.01.02_3855_0044.jpg", "prev_meeting_viewer_url")</f>
        <v>prev_meeting_viewer_url</v>
      </c>
      <c r="Y228" t="str">
        <f>HYPERLINK("https://images.diginfra.net/iiif/NL-HaNA_1.01.02/3855/NL-HaNA_1.01.02_3855_0044.jpg/1269,926,1090,2545/full/0/default.jpg", "prev_meeting_iiif_url")</f>
        <v>prev_meeting_iiif_url</v>
      </c>
      <c r="Z228" t="s">
        <v>33</v>
      </c>
      <c r="AA228" t="s">
        <v>1024</v>
      </c>
      <c r="AB228" t="str">
        <f>HYPERLINK("https://images.diginfra.net/framed3.html?imagesetuuid=5244deb9-8f97-4a39-89ba-6da1d308b8f5&amp;uri=https://images.diginfra.net/iiif/NL-HaNA_1.01.02/3855/NL-HaNA_1.01.02_3855_0047.jpg", "next_meeting_viewer_url")</f>
        <v>next_meeting_viewer_url</v>
      </c>
      <c r="AC228" t="str">
        <f>HYPERLINK("https://images.diginfra.net/iiif/NL-HaNA_1.01.02/3855/NL-HaNA_1.01.02_3855_0047.jpg/3431,1758,1073,1655/full/0/default.jpg", "next_meeting_iiif_url")</f>
        <v>next_meeting_iiif_url</v>
      </c>
    </row>
    <row r="229" spans="1:29" x14ac:dyDescent="0.2">
      <c r="A229" t="s">
        <v>1025</v>
      </c>
      <c r="B229" t="s">
        <v>59</v>
      </c>
      <c r="C229" t="s">
        <v>1026</v>
      </c>
      <c r="D229" t="b">
        <v>1</v>
      </c>
      <c r="E229" t="b">
        <v>1</v>
      </c>
      <c r="F229">
        <v>1</v>
      </c>
      <c r="I229" t="s">
        <v>1027</v>
      </c>
      <c r="J229">
        <v>3792</v>
      </c>
      <c r="K229">
        <v>230</v>
      </c>
      <c r="L229">
        <v>2554</v>
      </c>
      <c r="M229">
        <v>2314</v>
      </c>
      <c r="N229">
        <f t="shared" si="5"/>
        <v>460</v>
      </c>
      <c r="O229">
        <v>459</v>
      </c>
      <c r="P229">
        <v>0</v>
      </c>
      <c r="Q229">
        <v>2</v>
      </c>
      <c r="R229">
        <v>0</v>
      </c>
      <c r="S229" t="s">
        <v>33</v>
      </c>
      <c r="T229" t="str">
        <f>HYPERLINK("https://images.diginfra.net/framed3.html?imagesetuuid=507d79a4-2a42-4e84-afa5-a9ccb1e544fe&amp;uri=https://images.diginfra.net/iiif/NL-HaNA_1.01.02/3792/NL-HaNA_1.01.02_3792_0230.jpg", "viewer_url")</f>
        <v>viewer_url</v>
      </c>
      <c r="U229" t="str">
        <f>HYPERLINK("https://images.diginfra.net/iiif/NL-HaNA_1.01.02/3792/NL-HaNA_1.01.02_3792_0230.jpg/2554,2314,1035,1189/full/0/default.jpg", "iiif_url")</f>
        <v>iiif_url</v>
      </c>
      <c r="V229" t="s">
        <v>33</v>
      </c>
      <c r="W229" t="s">
        <v>1028</v>
      </c>
      <c r="X229" t="str">
        <f>HYPERLINK("https://images.diginfra.net/framed3.html?imagesetuuid=507d79a4-2a42-4e84-afa5-a9ccb1e544fe&amp;uri=https://images.diginfra.net/iiif/NL-HaNA_1.01.02/3792/NL-HaNA_1.01.02_3792_0229.jpg", "prev_meeting_viewer_url")</f>
        <v>prev_meeting_viewer_url</v>
      </c>
      <c r="Y229" t="str">
        <f>HYPERLINK("https://images.diginfra.net/iiif/NL-HaNA_1.01.02/3792/NL-HaNA_1.01.02_3792_0229.jpg/2459,749,1093,2750/full/0/default.jpg", "prev_meeting_iiif_url")</f>
        <v>prev_meeting_iiif_url</v>
      </c>
      <c r="Z229" t="s">
        <v>33</v>
      </c>
      <c r="AA229" t="s">
        <v>1029</v>
      </c>
      <c r="AB229" t="str">
        <f>HYPERLINK("https://images.diginfra.net/framed3.html?imagesetuuid=507d79a4-2a42-4e84-afa5-a9ccb1e544fe&amp;uri=https://images.diginfra.net/iiif/NL-HaNA_1.01.02/3792/NL-HaNA_1.01.02_3792_0231.jpg", "next_meeting_viewer_url")</f>
        <v>next_meeting_viewer_url</v>
      </c>
      <c r="AC229" t="str">
        <f>HYPERLINK("https://images.diginfra.net/iiif/NL-HaNA_1.01.02/3792/NL-HaNA_1.01.02_3792_0231.jpg/2672,2814,808,575/full/0/default.jpg", "next_meeting_iiif_url")</f>
        <v>next_meeting_iiif_url</v>
      </c>
    </row>
    <row r="230" spans="1:29" x14ac:dyDescent="0.2">
      <c r="A230" t="s">
        <v>1030</v>
      </c>
      <c r="B230" t="s">
        <v>30</v>
      </c>
      <c r="C230" t="s">
        <v>1031</v>
      </c>
      <c r="D230" t="b">
        <v>1</v>
      </c>
      <c r="E230" t="b">
        <v>1</v>
      </c>
      <c r="F230">
        <v>1</v>
      </c>
      <c r="I230" t="s">
        <v>1032</v>
      </c>
      <c r="J230">
        <v>3781</v>
      </c>
      <c r="K230">
        <v>256</v>
      </c>
      <c r="L230">
        <v>235</v>
      </c>
      <c r="M230">
        <v>316</v>
      </c>
      <c r="N230">
        <f t="shared" si="5"/>
        <v>512</v>
      </c>
      <c r="O230">
        <v>510</v>
      </c>
      <c r="P230">
        <v>0</v>
      </c>
      <c r="Q230">
        <v>0</v>
      </c>
      <c r="R230">
        <v>0</v>
      </c>
      <c r="S230" t="s">
        <v>33</v>
      </c>
      <c r="T230" t="str">
        <f>HYPERLINK("https://images.diginfra.net/framed3.html?imagesetuuid=7806433b-7f26-4d4e-8e76-37d108a188de&amp;uri=https://images.diginfra.net/iiif/NL-HaNA_1.01.02/3781/NL-HaNA_1.01.02_3781_0256.jpg", "viewer_url")</f>
        <v>viewer_url</v>
      </c>
      <c r="U230" t="str">
        <f>HYPERLINK("https://images.diginfra.net/iiif/NL-HaNA_1.01.02/3781/NL-HaNA_1.01.02_3781_0256.jpg/235,316,1109,3063/full/0/default.jpg", "iiif_url")</f>
        <v>iiif_url</v>
      </c>
      <c r="V230" t="s">
        <v>33</v>
      </c>
      <c r="W230" t="s">
        <v>1033</v>
      </c>
      <c r="X230" t="str">
        <f>HYPERLINK("https://images.diginfra.net/framed3.html?imagesetuuid=7806433b-7f26-4d4e-8e76-37d108a188de&amp;uri=https://images.diginfra.net/iiif/NL-HaNA_1.01.02/3781/NL-HaNA_1.01.02_3781_0254.jpg", "prev_meeting_viewer_url")</f>
        <v>prev_meeting_viewer_url</v>
      </c>
      <c r="Y230" t="str">
        <f>HYPERLINK("https://images.diginfra.net/iiif/NL-HaNA_1.01.02/3781/NL-HaNA_1.01.02_3781_0254.jpg/2615,2971,762,325/full/0/default.jpg", "prev_meeting_iiif_url")</f>
        <v>prev_meeting_iiif_url</v>
      </c>
      <c r="Z230" t="s">
        <v>33</v>
      </c>
      <c r="AA230" t="s">
        <v>1034</v>
      </c>
      <c r="AB230" t="str">
        <f>HYPERLINK("https://images.diginfra.net/framed3.html?imagesetuuid=7806433b-7f26-4d4e-8e76-37d108a188de&amp;uri=https://images.diginfra.net/iiif/NL-HaNA_1.01.02/3781/NL-HaNA_1.01.02_3781_0257.jpg", "next_meeting_viewer_url")</f>
        <v>next_meeting_viewer_url</v>
      </c>
      <c r="AC230" t="str">
        <f>HYPERLINK("https://images.diginfra.net/iiif/NL-HaNA_1.01.02/3781/NL-HaNA_1.01.02_3781_0257.jpg/1189,743,1110,2696/full/0/default.jpg", "next_meeting_iiif_url")</f>
        <v>next_meeting_iiif_url</v>
      </c>
    </row>
    <row r="231" spans="1:29" x14ac:dyDescent="0.2">
      <c r="A231" t="s">
        <v>1035</v>
      </c>
      <c r="B231" t="s">
        <v>37</v>
      </c>
      <c r="C231" t="s">
        <v>1036</v>
      </c>
      <c r="D231" t="b">
        <v>1</v>
      </c>
      <c r="E231" t="b">
        <v>1</v>
      </c>
      <c r="F231">
        <v>1</v>
      </c>
      <c r="I231" t="s">
        <v>1037</v>
      </c>
      <c r="J231">
        <v>3781</v>
      </c>
      <c r="K231">
        <v>422</v>
      </c>
      <c r="L231">
        <v>2455</v>
      </c>
      <c r="M231">
        <v>1153</v>
      </c>
      <c r="N231">
        <f t="shared" si="5"/>
        <v>844</v>
      </c>
      <c r="O231">
        <v>843</v>
      </c>
      <c r="P231">
        <v>0</v>
      </c>
      <c r="Q231">
        <v>2</v>
      </c>
      <c r="R231">
        <v>0</v>
      </c>
      <c r="S231" t="s">
        <v>33</v>
      </c>
      <c r="T231" t="str">
        <f>HYPERLINK("https://images.diginfra.net/framed3.html?imagesetuuid=7806433b-7f26-4d4e-8e76-37d108a188de&amp;uri=https://images.diginfra.net/iiif/NL-HaNA_1.01.02/3781/NL-HaNA_1.01.02_3781_0422.jpg", "viewer_url")</f>
        <v>viewer_url</v>
      </c>
      <c r="U231" t="str">
        <f>HYPERLINK("https://images.diginfra.net/iiif/NL-HaNA_1.01.02/3781/NL-HaNA_1.01.02_3781_0422.jpg/2455,1153,1096,2273/full/0/default.jpg", "iiif_url")</f>
        <v>iiif_url</v>
      </c>
      <c r="V231" t="s">
        <v>33</v>
      </c>
      <c r="W231" t="s">
        <v>1038</v>
      </c>
      <c r="X231" t="str">
        <f>HYPERLINK("https://images.diginfra.net/framed3.html?imagesetuuid=7806433b-7f26-4d4e-8e76-37d108a188de&amp;uri=https://images.diginfra.net/iiif/NL-HaNA_1.01.02/3781/NL-HaNA_1.01.02_3781_0421.jpg", "prev_meeting_viewer_url")</f>
        <v>prev_meeting_viewer_url</v>
      </c>
      <c r="Y231" t="str">
        <f>HYPERLINK("https://images.diginfra.net/iiif/NL-HaNA_1.01.02/3781/NL-HaNA_1.01.02_3781_0421.jpg/278,1183,1099,2245/full/0/default.jpg", "prev_meeting_iiif_url")</f>
        <v>prev_meeting_iiif_url</v>
      </c>
      <c r="Z231" t="s">
        <v>33</v>
      </c>
      <c r="AA231" t="s">
        <v>1039</v>
      </c>
      <c r="AB231" t="str">
        <f>HYPERLINK("https://images.diginfra.net/framed3.html?imagesetuuid=7806433b-7f26-4d4e-8e76-37d108a188de&amp;uri=https://images.diginfra.net/iiif/NL-HaNA_1.01.02/3781/NL-HaNA_1.01.02_3781_0424.jpg", "next_meeting_viewer_url")</f>
        <v>next_meeting_viewer_url</v>
      </c>
      <c r="AC231" t="str">
        <f>HYPERLINK("https://images.diginfra.net/iiif/NL-HaNA_1.01.02/3781/NL-HaNA_1.01.02_3781_0424.jpg/1271,2310,1041,990/full/0/default.jpg", "next_meeting_iiif_url")</f>
        <v>next_meeting_iiif_url</v>
      </c>
    </row>
    <row r="232" spans="1:29" x14ac:dyDescent="0.2">
      <c r="A232" t="s">
        <v>1040</v>
      </c>
      <c r="B232" t="s">
        <v>85</v>
      </c>
      <c r="C232" t="s">
        <v>1041</v>
      </c>
      <c r="D232" t="b">
        <v>1</v>
      </c>
      <c r="E232" t="b">
        <v>1</v>
      </c>
      <c r="F232">
        <v>1</v>
      </c>
      <c r="I232" t="s">
        <v>1042</v>
      </c>
      <c r="J232">
        <v>3808</v>
      </c>
      <c r="K232">
        <v>73</v>
      </c>
      <c r="L232">
        <v>1270</v>
      </c>
      <c r="M232">
        <v>2717</v>
      </c>
      <c r="N232">
        <f t="shared" si="5"/>
        <v>146</v>
      </c>
      <c r="O232">
        <v>144</v>
      </c>
      <c r="P232">
        <v>1</v>
      </c>
      <c r="Q232">
        <v>0</v>
      </c>
      <c r="R232">
        <v>54</v>
      </c>
      <c r="S232" t="s">
        <v>33</v>
      </c>
      <c r="T232" t="str">
        <f>HYPERLINK("https://images.diginfra.net/framed3.html?imagesetuuid=d7b14369-fedc-4c2f-b4ba-0014f4e297b6&amp;uri=https://images.diginfra.net/iiif/NL-HaNA_1.01.02/3808/NL-HaNA_1.01.02_3808_0073.jpg", "viewer_url")</f>
        <v>viewer_url</v>
      </c>
      <c r="U232" t="str">
        <f>HYPERLINK("https://images.diginfra.net/iiif/NL-HaNA_1.01.02/3808/NL-HaNA_1.01.02_3808_0073.jpg/1270,2717,1049,644/full/0/default.jpg", "iiif_url")</f>
        <v>iiif_url</v>
      </c>
      <c r="V232" t="s">
        <v>33</v>
      </c>
      <c r="W232" t="s">
        <v>1043</v>
      </c>
      <c r="X232" t="str">
        <f>HYPERLINK("https://images.diginfra.net/framed3.html?imagesetuuid=d7b14369-fedc-4c2f-b4ba-0014f4e297b6&amp;uri=https://images.diginfra.net/iiif/NL-HaNA_1.01.02/3808/NL-HaNA_1.01.02_3808_0071.jpg", "prev_meeting_viewer_url")</f>
        <v>prev_meeting_viewer_url</v>
      </c>
      <c r="Y232" t="str">
        <f>HYPERLINK("https://images.diginfra.net/iiif/NL-HaNA_1.01.02/3808/NL-HaNA_1.01.02_3808_0071.jpg/2324,1623,1039,1393/full/0/default.jpg", "prev_meeting_iiif_url")</f>
        <v>prev_meeting_iiif_url</v>
      </c>
      <c r="Z232" t="s">
        <v>33</v>
      </c>
      <c r="AA232" t="s">
        <v>1044</v>
      </c>
      <c r="AB232" t="str">
        <f>HYPERLINK("https://images.diginfra.net/framed3.html?imagesetuuid=d7b14369-fedc-4c2f-b4ba-0014f4e297b6&amp;uri=https://images.diginfra.net/iiif/NL-HaNA_1.01.02/3808/NL-HaNA_1.01.02_3808_0073.jpg", "next_meeting_viewer_url")</f>
        <v>next_meeting_viewer_url</v>
      </c>
      <c r="AC232" t="str">
        <f>HYPERLINK("https://images.diginfra.net/iiif/NL-HaNA_1.01.02/3808/NL-HaNA_1.01.02_3808_0073.jpg/2319,1208,1088,2251/full/0/default.jpg", "next_meeting_iiif_url")</f>
        <v>next_meeting_iiif_url</v>
      </c>
    </row>
    <row r="233" spans="1:29" x14ac:dyDescent="0.2">
      <c r="A233" t="s">
        <v>1045</v>
      </c>
      <c r="B233" t="s">
        <v>85</v>
      </c>
      <c r="C233" t="s">
        <v>1046</v>
      </c>
      <c r="D233" t="b">
        <v>1</v>
      </c>
      <c r="E233" t="b">
        <v>1</v>
      </c>
      <c r="F233">
        <v>1</v>
      </c>
      <c r="I233" t="s">
        <v>1047</v>
      </c>
      <c r="J233">
        <v>3845</v>
      </c>
      <c r="K233">
        <v>146</v>
      </c>
      <c r="L233">
        <v>3310</v>
      </c>
      <c r="M233">
        <v>2922</v>
      </c>
      <c r="N233">
        <f t="shared" si="5"/>
        <v>292</v>
      </c>
      <c r="O233">
        <v>291</v>
      </c>
      <c r="P233">
        <v>1</v>
      </c>
      <c r="Q233">
        <v>2</v>
      </c>
      <c r="R233">
        <v>0</v>
      </c>
      <c r="S233" t="s">
        <v>33</v>
      </c>
      <c r="T233" t="str">
        <f>HYPERLINK("https://images.diginfra.net/framed3.html?imagesetuuid=365b5200-93cb-433b-b7cc-5e0bd70f223a&amp;uri=https://images.diginfra.net/iiif/NL-HaNA_1.01.02/3845/NL-HaNA_1.01.02_3845_0146.jpg", "viewer_url")</f>
        <v>viewer_url</v>
      </c>
      <c r="U233" t="str">
        <f>HYPERLINK("https://images.diginfra.net/iiif/NL-HaNA_1.01.02/3845/NL-HaNA_1.01.02_3845_0146.jpg/3310,2922,881,450/full/0/default.jpg", "iiif_url")</f>
        <v>iiif_url</v>
      </c>
      <c r="V233" t="s">
        <v>33</v>
      </c>
      <c r="W233" t="s">
        <v>1048</v>
      </c>
      <c r="X233" t="str">
        <f>HYPERLINK("https://images.diginfra.net/framed3.html?imagesetuuid=365b5200-93cb-433b-b7cc-5e0bd70f223a&amp;uri=https://images.diginfra.net/iiif/NL-HaNA_1.01.02/3845/NL-HaNA_1.01.02_3845_0145.jpg", "prev_meeting_viewer_url")</f>
        <v>prev_meeting_viewer_url</v>
      </c>
      <c r="Y233" t="str">
        <f>HYPERLINK("https://images.diginfra.net/iiif/NL-HaNA_1.01.02/3845/NL-HaNA_1.01.02_3845_0145.jpg/372,474,1084,2908/full/0/default.jpg", "prev_meeting_iiif_url")</f>
        <v>prev_meeting_iiif_url</v>
      </c>
      <c r="Z233" t="s">
        <v>33</v>
      </c>
      <c r="AA233" t="s">
        <v>1049</v>
      </c>
      <c r="AB233" t="str">
        <f>HYPERLINK("https://images.diginfra.net/framed3.html?imagesetuuid=365b5200-93cb-433b-b7cc-5e0bd70f223a&amp;uri=https://images.diginfra.net/iiif/NL-HaNA_1.01.02/3845/NL-HaNA_1.01.02_3845_0149.jpg", "next_meeting_viewer_url")</f>
        <v>next_meeting_viewer_url</v>
      </c>
      <c r="AC233" t="str">
        <f>HYPERLINK("https://images.diginfra.net/iiif/NL-HaNA_1.01.02/3845/NL-HaNA_1.01.02_3845_0149.jpg/359,2197,1023,1136/full/0/default.jpg", "next_meeting_iiif_url")</f>
        <v>next_meeting_iiif_url</v>
      </c>
    </row>
    <row r="234" spans="1:29" x14ac:dyDescent="0.2">
      <c r="A234" t="s">
        <v>1050</v>
      </c>
      <c r="B234" t="s">
        <v>48</v>
      </c>
      <c r="C234" t="s">
        <v>1051</v>
      </c>
      <c r="D234" t="b">
        <v>1</v>
      </c>
      <c r="E234" t="b">
        <v>1</v>
      </c>
      <c r="F234">
        <v>1</v>
      </c>
      <c r="I234" t="s">
        <v>1052</v>
      </c>
      <c r="J234">
        <v>3810</v>
      </c>
      <c r="K234">
        <v>415</v>
      </c>
      <c r="L234">
        <v>3299</v>
      </c>
      <c r="M234">
        <v>2446</v>
      </c>
      <c r="N234">
        <f t="shared" si="5"/>
        <v>830</v>
      </c>
      <c r="O234">
        <v>829</v>
      </c>
      <c r="P234">
        <v>1</v>
      </c>
      <c r="Q234">
        <v>3</v>
      </c>
      <c r="R234">
        <v>0</v>
      </c>
      <c r="S234" t="s">
        <v>33</v>
      </c>
      <c r="T234" t="str">
        <f>HYPERLINK("https://images.diginfra.net/framed3.html?imagesetuuid=c09819be-7a72-4ff1-ad38-883712386d5f&amp;uri=https://images.diginfra.net/iiif/NL-HaNA_1.01.02/3810/NL-HaNA_1.01.02_3810_0415.jpg", "viewer_url")</f>
        <v>viewer_url</v>
      </c>
      <c r="U234" t="str">
        <f>HYPERLINK("https://images.diginfra.net/iiif/NL-HaNA_1.01.02/3810/NL-HaNA_1.01.02_3810_0415.jpg/3299,2446,1032,974/full/0/default.jpg", "iiif_url")</f>
        <v>iiif_url</v>
      </c>
      <c r="V234" t="s">
        <v>33</v>
      </c>
      <c r="W234" t="s">
        <v>1053</v>
      </c>
      <c r="X234" t="str">
        <f>HYPERLINK("https://images.diginfra.net/framed3.html?imagesetuuid=c09819be-7a72-4ff1-ad38-883712386d5f&amp;uri=https://images.diginfra.net/iiif/NL-HaNA_1.01.02/3810/NL-HaNA_1.01.02_3810_0414.jpg", "prev_meeting_viewer_url")</f>
        <v>prev_meeting_viewer_url</v>
      </c>
      <c r="Y234" t="str">
        <f>HYPERLINK("https://images.diginfra.net/iiif/NL-HaNA_1.01.02/3810/NL-HaNA_1.01.02_3810_0414.jpg/1132,784,1131,2647/full/0/default.jpg", "prev_meeting_iiif_url")</f>
        <v>prev_meeting_iiif_url</v>
      </c>
      <c r="Z234" t="s">
        <v>33</v>
      </c>
      <c r="AA234" t="s">
        <v>1054</v>
      </c>
      <c r="AB234" t="str">
        <f>HYPERLINK("https://images.diginfra.net/framed3.html?imagesetuuid=c09819be-7a72-4ff1-ad38-883712386d5f&amp;uri=https://images.diginfra.net/iiif/NL-HaNA_1.01.02/3810/NL-HaNA_1.01.02_3810_0419.jpg", "next_meeting_viewer_url")</f>
        <v>next_meeting_viewer_url</v>
      </c>
      <c r="AC234" t="str">
        <f>HYPERLINK("https://images.diginfra.net/iiif/NL-HaNA_1.01.02/3810/NL-HaNA_1.01.02_3810_0419.jpg/2368,1649,1038,1758/full/0/default.jpg", "next_meeting_iiif_url")</f>
        <v>next_meeting_iiif_url</v>
      </c>
    </row>
    <row r="235" spans="1:29" x14ac:dyDescent="0.2">
      <c r="A235" t="s">
        <v>1055</v>
      </c>
      <c r="B235" t="s">
        <v>37</v>
      </c>
      <c r="C235" t="s">
        <v>1056</v>
      </c>
      <c r="D235" t="b">
        <v>1</v>
      </c>
      <c r="E235" t="b">
        <v>1</v>
      </c>
      <c r="F235">
        <v>1</v>
      </c>
      <c r="I235" t="s">
        <v>1057</v>
      </c>
      <c r="J235">
        <v>3813</v>
      </c>
      <c r="K235">
        <v>133</v>
      </c>
      <c r="L235">
        <v>3351</v>
      </c>
      <c r="M235">
        <v>1617</v>
      </c>
      <c r="N235">
        <f t="shared" si="5"/>
        <v>266</v>
      </c>
      <c r="O235">
        <v>265</v>
      </c>
      <c r="P235">
        <v>1</v>
      </c>
      <c r="Q235">
        <v>2</v>
      </c>
      <c r="R235">
        <v>0</v>
      </c>
      <c r="S235" t="s">
        <v>33</v>
      </c>
      <c r="T235" t="str">
        <f>HYPERLINK("https://images.diginfra.net/framed3.html?imagesetuuid=19a3f39b-117a-4ab7-b45b-5e134b099649&amp;uri=https://images.diginfra.net/iiif/NL-HaNA_1.01.02/3813/NL-HaNA_1.01.02_3813_0133.jpg", "viewer_url")</f>
        <v>viewer_url</v>
      </c>
      <c r="U235" t="str">
        <f>HYPERLINK("https://images.diginfra.net/iiif/NL-HaNA_1.01.02/3813/NL-HaNA_1.01.02_3813_0133.jpg/3351,1617,1091,1609/full/0/default.jpg", "iiif_url")</f>
        <v>iiif_url</v>
      </c>
      <c r="V235" t="s">
        <v>33</v>
      </c>
      <c r="W235" t="s">
        <v>1058</v>
      </c>
      <c r="X235" t="str">
        <f>HYPERLINK("https://images.diginfra.net/framed3.html?imagesetuuid=19a3f39b-117a-4ab7-b45b-5e134b099649&amp;uri=https://images.diginfra.net/iiif/NL-HaNA_1.01.02/3813/NL-HaNA_1.01.02_3813_0133.jpg", "prev_meeting_viewer_url")</f>
        <v>prev_meeting_viewer_url</v>
      </c>
      <c r="Y235" t="str">
        <f>HYPERLINK("https://images.diginfra.net/iiif/NL-HaNA_1.01.02/3813/NL-HaNA_1.01.02_3813_0133.jpg/272,1125,1099,2247/full/0/default.jpg", "prev_meeting_iiif_url")</f>
        <v>prev_meeting_iiif_url</v>
      </c>
      <c r="Z235" t="s">
        <v>33</v>
      </c>
      <c r="AA235" t="s">
        <v>1059</v>
      </c>
      <c r="AB235" t="str">
        <f>HYPERLINK("https://images.diginfra.net/framed3.html?imagesetuuid=19a3f39b-117a-4ab7-b45b-5e134b099649&amp;uri=https://images.diginfra.net/iiif/NL-HaNA_1.01.02/3813/NL-HaNA_1.01.02_3813_0136.jpg", "next_meeting_viewer_url")</f>
        <v>next_meeting_viewer_url</v>
      </c>
      <c r="AC235" t="str">
        <f>HYPERLINK("https://images.diginfra.net/iiif/NL-HaNA_1.01.02/3813/NL-HaNA_1.01.02_3813_0136.jpg/266,300,1104,3158/full/0/default.jpg", "next_meeting_iiif_url")</f>
        <v>next_meeting_iiif_url</v>
      </c>
    </row>
    <row r="236" spans="1:29" x14ac:dyDescent="0.2">
      <c r="A236" t="s">
        <v>1060</v>
      </c>
      <c r="B236" t="s">
        <v>48</v>
      </c>
      <c r="C236" t="s">
        <v>1061</v>
      </c>
      <c r="D236" t="b">
        <v>1</v>
      </c>
      <c r="E236" t="b">
        <v>1</v>
      </c>
      <c r="F236">
        <v>1</v>
      </c>
      <c r="I236" t="s">
        <v>1062</v>
      </c>
      <c r="J236">
        <v>3774</v>
      </c>
      <c r="K236">
        <v>357</v>
      </c>
      <c r="L236">
        <v>272</v>
      </c>
      <c r="M236">
        <v>639</v>
      </c>
      <c r="N236">
        <f t="shared" si="5"/>
        <v>714</v>
      </c>
      <c r="O236">
        <v>712</v>
      </c>
      <c r="P236">
        <v>0</v>
      </c>
      <c r="Q236">
        <v>1</v>
      </c>
      <c r="R236">
        <v>0</v>
      </c>
      <c r="S236" t="s">
        <v>33</v>
      </c>
      <c r="T236" t="str">
        <f>HYPERLINK("https://images.diginfra.net/framed3.html?imagesetuuid=a94d24a1-7932-4b81-a3e6-04161d471ec1&amp;uri=https://images.diginfra.net/iiif/NL-HaNA_1.01.02/3774/NL-HaNA_1.01.02_3774_0357.jpg", "viewer_url")</f>
        <v>viewer_url</v>
      </c>
      <c r="U236" t="str">
        <f>HYPERLINK("https://images.diginfra.net/iiif/NL-HaNA_1.01.02/3774/NL-HaNA_1.01.02_3774_0357.jpg/272,639,1090,2773/full/0/default.jpg", "iiif_url")</f>
        <v>iiif_url</v>
      </c>
      <c r="V236" t="s">
        <v>33</v>
      </c>
      <c r="W236" t="s">
        <v>1063</v>
      </c>
      <c r="X236" t="str">
        <f>HYPERLINK("https://images.diginfra.net/framed3.html?imagesetuuid=a94d24a1-7932-4b81-a3e6-04161d471ec1&amp;uri=https://images.diginfra.net/iiif/NL-HaNA_1.01.02/3774/NL-HaNA_1.01.02_3774_0355.jpg", "prev_meeting_viewer_url")</f>
        <v>prev_meeting_viewer_url</v>
      </c>
      <c r="Y236" t="str">
        <f>HYPERLINK("https://images.diginfra.net/iiif/NL-HaNA_1.01.02/3774/NL-HaNA_1.01.02_3774_0355.jpg/2347,1086,1069,2338/full/0/default.jpg", "prev_meeting_iiif_url")</f>
        <v>prev_meeting_iiif_url</v>
      </c>
      <c r="Z236" t="s">
        <v>33</v>
      </c>
      <c r="AA236" t="s">
        <v>1064</v>
      </c>
      <c r="AB236" t="str">
        <f>HYPERLINK("https://images.diginfra.net/framed3.html?imagesetuuid=a94d24a1-7932-4b81-a3e6-04161d471ec1&amp;uri=https://images.diginfra.net/iiif/NL-HaNA_1.01.02/3774/NL-HaNA_1.01.02_3774_0358.jpg", "next_meeting_viewer_url")</f>
        <v>next_meeting_viewer_url</v>
      </c>
      <c r="AC236" t="str">
        <f>HYPERLINK("https://images.diginfra.net/iiif/NL-HaNA_1.01.02/3774/NL-HaNA_1.01.02_3774_0358.jpg/327,2482,1035,912/full/0/default.jpg", "next_meeting_iiif_url")</f>
        <v>next_meeting_iiif_url</v>
      </c>
    </row>
    <row r="237" spans="1:29" x14ac:dyDescent="0.2">
      <c r="A237" t="s">
        <v>1065</v>
      </c>
      <c r="B237" t="s">
        <v>59</v>
      </c>
      <c r="D237" t="b">
        <v>1</v>
      </c>
      <c r="E237" t="b">
        <v>1</v>
      </c>
      <c r="F237">
        <v>1</v>
      </c>
      <c r="J237">
        <v>3801</v>
      </c>
      <c r="K237">
        <v>269</v>
      </c>
      <c r="L237">
        <v>1391</v>
      </c>
      <c r="M237">
        <v>3066</v>
      </c>
      <c r="N237">
        <f t="shared" si="5"/>
        <v>538</v>
      </c>
      <c r="O237">
        <v>536</v>
      </c>
      <c r="P237">
        <v>1</v>
      </c>
      <c r="T237" t="str">
        <f>HYPERLINK("None", "viewer_url")</f>
        <v>viewer_url</v>
      </c>
      <c r="U237" t="str">
        <f>HYPERLINK("https://images.diginfra.net/iiif/NL-HaNA_1.01.02/3801/NL-HaNA_1.01.02_3801_0269.jpg/1391,3066,665,238/full/0/default.jpg", "iiif_url")</f>
        <v>iiif_url</v>
      </c>
      <c r="V237" t="s">
        <v>44</v>
      </c>
      <c r="X237" t="str">
        <f>HYPERLINK("https://images.diginfra.net/framed3.html?imagesetuuid=f36c8416-59a8-4b1a-a82a-ef225cbd1971&amp;uri=https://images.diginfra.net/iiif/NL-HaNA_1.01.02/3801/NL-HaNA_1.01.02_3801_0268.jpg", "prev_meeting_viewer_url")</f>
        <v>prev_meeting_viewer_url</v>
      </c>
      <c r="Y237" t="str">
        <f>HYPERLINK("https://images.diginfra.net/iiif/NL-HaNA_1.01.02/3801/NL-HaNA_1.01.02_3801_0268.jpg/2433,348,1117,3007/full/0/default.jpg", "prev_meeting_iiif_url")</f>
        <v>prev_meeting_iiif_url</v>
      </c>
      <c r="Z237" t="s">
        <v>33</v>
      </c>
      <c r="AA237" t="s">
        <v>1066</v>
      </c>
      <c r="AB237" t="str">
        <f>HYPERLINK("https://images.diginfra.net/framed3.html?imagesetuuid=f36c8416-59a8-4b1a-a82a-ef225cbd1971&amp;uri=https://images.diginfra.net/iiif/NL-HaNA_1.01.02/3801/NL-HaNA_1.01.02_3801_0271.jpg", "next_meeting_viewer_url")</f>
        <v>next_meeting_viewer_url</v>
      </c>
      <c r="AC237" t="str">
        <f>HYPERLINK("https://images.diginfra.net/iiif/NL-HaNA_1.01.02/3801/NL-HaNA_1.01.02_3801_0271.jpg/1351,2215,1040,1196/full/0/default.jpg", "next_meeting_iiif_url")</f>
        <v>next_meeting_iiif_url</v>
      </c>
    </row>
    <row r="238" spans="1:29" x14ac:dyDescent="0.2">
      <c r="A238" t="s">
        <v>1067</v>
      </c>
      <c r="B238" t="s">
        <v>37</v>
      </c>
      <c r="C238" t="s">
        <v>1068</v>
      </c>
      <c r="D238" t="b">
        <v>1</v>
      </c>
      <c r="E238" t="b">
        <v>1</v>
      </c>
      <c r="F238">
        <v>1</v>
      </c>
      <c r="I238" t="s">
        <v>1069</v>
      </c>
      <c r="J238">
        <v>3784</v>
      </c>
      <c r="K238">
        <v>158</v>
      </c>
      <c r="L238">
        <v>2322</v>
      </c>
      <c r="M238">
        <v>1463</v>
      </c>
      <c r="N238">
        <f t="shared" si="5"/>
        <v>316</v>
      </c>
      <c r="O238">
        <v>315</v>
      </c>
      <c r="P238">
        <v>0</v>
      </c>
      <c r="Q238">
        <v>0</v>
      </c>
      <c r="R238">
        <v>0</v>
      </c>
      <c r="S238" t="s">
        <v>33</v>
      </c>
      <c r="T238" t="str">
        <f>HYPERLINK("https://images.diginfra.net/framed3.html?imagesetuuid=cb2f6e2d-502d-41d8-a51c-455c64ed98c9&amp;uri=https://images.diginfra.net/iiif/NL-HaNA_1.01.02/3784/NL-HaNA_1.01.02_3784_0158.jpg", "viewer_url")</f>
        <v>viewer_url</v>
      </c>
      <c r="U238" t="str">
        <f>HYPERLINK("https://images.diginfra.net/iiif/NL-HaNA_1.01.02/3784/NL-HaNA_1.01.02_3784_0158.jpg/2322,1463,1038,1115/full/0/default.jpg", "iiif_url")</f>
        <v>iiif_url</v>
      </c>
      <c r="V238" t="s">
        <v>33</v>
      </c>
      <c r="W238" t="s">
        <v>1070</v>
      </c>
      <c r="X238" t="str">
        <f>HYPERLINK("https://images.diginfra.net/framed3.html?imagesetuuid=cb2f6e2d-502d-41d8-a51c-455c64ed98c9&amp;uri=https://images.diginfra.net/iiif/NL-HaNA_1.01.02/3784/NL-HaNA_1.01.02_3784_0157.jpg", "prev_meeting_viewer_url")</f>
        <v>prev_meeting_viewer_url</v>
      </c>
      <c r="Y238" t="str">
        <f>HYPERLINK("https://images.diginfra.net/iiif/NL-HaNA_1.01.02/3784/NL-HaNA_1.01.02_3784_0157.jpg/1259,2007,1107,1331/full/0/default.jpg", "prev_meeting_iiif_url")</f>
        <v>prev_meeting_iiif_url</v>
      </c>
      <c r="Z238" t="s">
        <v>33</v>
      </c>
      <c r="AA238" t="s">
        <v>1071</v>
      </c>
      <c r="AB238" t="str">
        <f>HYPERLINK("https://images.diginfra.net/framed3.html?imagesetuuid=cb2f6e2d-502d-41d8-a51c-455c64ed98c9&amp;uri=https://images.diginfra.net/iiif/NL-HaNA_1.01.02/3784/NL-HaNA_1.01.02_3784_0159.jpg", "next_meeting_viewer_url")</f>
        <v>next_meeting_viewer_url</v>
      </c>
      <c r="AC238" t="str">
        <f>HYPERLINK("https://images.diginfra.net/iiif/NL-HaNA_1.01.02/3784/NL-HaNA_1.01.02_3784_0159.jpg/1150,600,1107,2824/full/0/default.jpg", "next_meeting_iiif_url")</f>
        <v>next_meeting_iiif_url</v>
      </c>
    </row>
    <row r="239" spans="1:29" x14ac:dyDescent="0.2">
      <c r="A239" t="s">
        <v>1072</v>
      </c>
      <c r="B239" t="s">
        <v>79</v>
      </c>
      <c r="C239" t="s">
        <v>1073</v>
      </c>
      <c r="D239" t="b">
        <v>1</v>
      </c>
      <c r="E239" t="b">
        <v>1</v>
      </c>
      <c r="F239">
        <v>1</v>
      </c>
      <c r="I239" t="s">
        <v>1074</v>
      </c>
      <c r="J239">
        <v>3844</v>
      </c>
      <c r="K239">
        <v>188</v>
      </c>
      <c r="L239">
        <v>335</v>
      </c>
      <c r="M239">
        <v>1523</v>
      </c>
      <c r="N239">
        <f t="shared" si="5"/>
        <v>376</v>
      </c>
      <c r="O239">
        <v>374</v>
      </c>
      <c r="P239">
        <v>0</v>
      </c>
      <c r="Q239">
        <v>2</v>
      </c>
      <c r="R239">
        <v>0</v>
      </c>
      <c r="S239" t="s">
        <v>33</v>
      </c>
      <c r="T239" t="str">
        <f>HYPERLINK("https://images.diginfra.net/framed3.html?imagesetuuid=61690246-944a-4d63-9d72-95ab6a0a9306&amp;uri=https://images.diginfra.net/iiif/NL-HaNA_1.01.02/3844/NL-HaNA_1.01.02_3844_0188.jpg", "viewer_url")</f>
        <v>viewer_url</v>
      </c>
      <c r="U239" t="str">
        <f>HYPERLINK("https://images.diginfra.net/iiif/NL-HaNA_1.01.02/3844/NL-HaNA_1.01.02_3844_0188.jpg/335,1523,1089,1837/full/0/default.jpg", "iiif_url")</f>
        <v>iiif_url</v>
      </c>
      <c r="V239" t="s">
        <v>33</v>
      </c>
      <c r="W239" t="s">
        <v>1075</v>
      </c>
      <c r="X239" t="str">
        <f>HYPERLINK("https://images.diginfra.net/framed3.html?imagesetuuid=61690246-944a-4d63-9d72-95ab6a0a9306&amp;uri=https://images.diginfra.net/iiif/NL-HaNA_1.01.02/3844/NL-HaNA_1.01.02_3844_0186.jpg", "prev_meeting_viewer_url")</f>
        <v>prev_meeting_viewer_url</v>
      </c>
      <c r="Y239" t="str">
        <f>HYPERLINK("https://images.diginfra.net/iiif/NL-HaNA_1.01.02/3844/NL-HaNA_1.01.02_3844_0186.jpg/353,2674,1025,709/full/0/default.jpg", "prev_meeting_iiif_url")</f>
        <v>prev_meeting_iiif_url</v>
      </c>
      <c r="Z239" t="s">
        <v>33</v>
      </c>
      <c r="AA239" t="s">
        <v>1076</v>
      </c>
      <c r="AB239" t="str">
        <f>HYPERLINK("https://images.diginfra.net/framed3.html?imagesetuuid=61690246-944a-4d63-9d72-95ab6a0a9306&amp;uri=https://images.diginfra.net/iiif/NL-HaNA_1.01.02/3844/NL-HaNA_1.01.02_3844_0189.jpg", "next_meeting_viewer_url")</f>
        <v>next_meeting_viewer_url</v>
      </c>
      <c r="AC239" t="str">
        <f>HYPERLINK("https://images.diginfra.net/iiif/NL-HaNA_1.01.02/3844/NL-HaNA_1.01.02_3844_0189.jpg/2334,1562,1079,1805/full/0/default.jpg", "next_meeting_iiif_url")</f>
        <v>next_meeting_iiif_url</v>
      </c>
    </row>
    <row r="240" spans="1:29" x14ac:dyDescent="0.2">
      <c r="A240" t="s">
        <v>1077</v>
      </c>
      <c r="B240" t="s">
        <v>63</v>
      </c>
      <c r="D240" t="b">
        <v>0</v>
      </c>
      <c r="E240" t="b">
        <v>0</v>
      </c>
      <c r="F240">
        <v>1</v>
      </c>
      <c r="G240">
        <v>1</v>
      </c>
      <c r="I240" t="s">
        <v>1078</v>
      </c>
      <c r="J240">
        <v>3816</v>
      </c>
      <c r="K240">
        <v>404</v>
      </c>
      <c r="N240">
        <f t="shared" si="5"/>
        <v>808</v>
      </c>
      <c r="O240">
        <v>806</v>
      </c>
      <c r="P240">
        <v>1</v>
      </c>
      <c r="Q240">
        <v>1</v>
      </c>
      <c r="R240">
        <v>0</v>
      </c>
      <c r="S240" t="s">
        <v>33</v>
      </c>
      <c r="T240" t="str">
        <f>HYPERLINK("https://images.diginfra.net/framed3.html?imagesetuuid=1c2c3458-ea9f-4ec5-811c-cef54972a496&amp;uri=https://images.diginfra.net/iiif/NL-HaNA_1.01.02/3816/NL-HaNA_1.01.02_3816_0404.jpg", "viewer_url")</f>
        <v>viewer_url</v>
      </c>
      <c r="U240" t="str">
        <f>HYPERLINK("https://images.diginfra.net/iiif/NL-HaNA_1.01.02/3816/NL-HaNA_1.01.02_3816_0404.jpg/1193,550,1107,2852/full/0/default.jpg", "iiif_url")</f>
        <v>iiif_url</v>
      </c>
      <c r="V240" t="s">
        <v>33</v>
      </c>
      <c r="W240" t="s">
        <v>1079</v>
      </c>
      <c r="X240" t="str">
        <f>HYPERLINK("https://images.diginfra.net/framed3.html?imagesetuuid=1c2c3458-ea9f-4ec5-811c-cef54972a496&amp;uri=https://images.diginfra.net/iiif/NL-HaNA_1.01.02/3816/NL-HaNA_1.01.02_3816_0401.jpg", "prev_meeting_viewer_url")</f>
        <v>prev_meeting_viewer_url</v>
      </c>
      <c r="Y240" t="str">
        <f>HYPERLINK("https://images.diginfra.net/iiif/NL-HaNA_1.01.02/3816/NL-HaNA_1.01.02_3816_0401.jpg/211,1019,1088,2371/full/0/default.jpg", "prev_meeting_iiif_url")</f>
        <v>prev_meeting_iiif_url</v>
      </c>
      <c r="Z240" t="s">
        <v>33</v>
      </c>
      <c r="AA240" t="s">
        <v>1080</v>
      </c>
      <c r="AB240" t="str">
        <f>HYPERLINK("https://images.diginfra.net/framed3.html?imagesetuuid=1c2c3458-ea9f-4ec5-811c-cef54972a496&amp;uri=https://images.diginfra.net/iiif/NL-HaNA_1.01.02/3816/NL-HaNA_1.01.02_3816_0404.jpg", "next_meeting_viewer_url")</f>
        <v>next_meeting_viewer_url</v>
      </c>
      <c r="AC240" t="str">
        <f>HYPERLINK("https://images.diginfra.net/iiif/NL-HaNA_1.01.02/3816/NL-HaNA_1.01.02_3816_0404.jpg/1193,550,1107,2852/full/0/default.jpg", "next_meeting_iiif_url")</f>
        <v>next_meeting_iiif_url</v>
      </c>
    </row>
    <row r="241" spans="1:29" x14ac:dyDescent="0.2">
      <c r="A241" t="s">
        <v>1081</v>
      </c>
      <c r="B241" t="s">
        <v>48</v>
      </c>
      <c r="D241" t="b">
        <v>0</v>
      </c>
      <c r="E241" t="b">
        <v>0</v>
      </c>
      <c r="F241">
        <v>1</v>
      </c>
      <c r="G241">
        <v>1</v>
      </c>
      <c r="I241" t="s">
        <v>1082</v>
      </c>
      <c r="J241">
        <v>3822</v>
      </c>
      <c r="K241">
        <v>260</v>
      </c>
      <c r="N241">
        <f t="shared" si="5"/>
        <v>520</v>
      </c>
      <c r="O241">
        <v>518</v>
      </c>
      <c r="P241">
        <v>1</v>
      </c>
      <c r="Q241">
        <v>1</v>
      </c>
      <c r="R241">
        <v>0</v>
      </c>
      <c r="S241" t="s">
        <v>33</v>
      </c>
      <c r="T241" t="str">
        <f>HYPERLINK("https://images.diginfra.net/framed3.html?imagesetuuid=e0965315-891d-46c1-9dac-fc6b729921cf&amp;uri=https://images.diginfra.net/iiif/NL-HaNA_1.01.02/3822/NL-HaNA_1.01.02_3822_0260.jpg", "viewer_url")</f>
        <v>viewer_url</v>
      </c>
      <c r="U241" t="str">
        <f>HYPERLINK("https://images.diginfra.net/iiif/NL-HaNA_1.01.02/3822/NL-HaNA_1.01.02_3822_0260.jpg/453,2963,736,329/full/0/default.jpg", "iiif_url")</f>
        <v>iiif_url</v>
      </c>
      <c r="V241" t="s">
        <v>33</v>
      </c>
      <c r="W241" t="s">
        <v>1083</v>
      </c>
      <c r="X241" t="str">
        <f>HYPERLINK("https://images.diginfra.net/framed3.html?imagesetuuid=e0965315-891d-46c1-9dac-fc6b729921cf&amp;uri=https://images.diginfra.net/iiif/NL-HaNA_1.01.02/3822/NL-HaNA_1.01.02_3822_0258.jpg", "prev_meeting_viewer_url")</f>
        <v>prev_meeting_viewer_url</v>
      </c>
      <c r="Y241" t="str">
        <f>HYPERLINK("https://images.diginfra.net/iiif/NL-HaNA_1.01.02/3822/NL-HaNA_1.01.02_3822_0258.jpg/2411,2706,1013,679/full/0/default.jpg", "prev_meeting_iiif_url")</f>
        <v>prev_meeting_iiif_url</v>
      </c>
      <c r="Z241" t="s">
        <v>33</v>
      </c>
      <c r="AA241" t="s">
        <v>1084</v>
      </c>
      <c r="AB241" t="str">
        <f>HYPERLINK("https://images.diginfra.net/framed3.html?imagesetuuid=e0965315-891d-46c1-9dac-fc6b729921cf&amp;uri=https://images.diginfra.net/iiif/NL-HaNA_1.01.02/3822/NL-HaNA_1.01.02_3822_0260.jpg", "next_meeting_viewer_url")</f>
        <v>next_meeting_viewer_url</v>
      </c>
      <c r="AC241" t="str">
        <f>HYPERLINK("https://images.diginfra.net/iiif/NL-HaNA_1.01.02/3822/NL-HaNA_1.01.02_3822_0260.jpg/453,2963,736,329/full/0/default.jpg", "next_meeting_iiif_url")</f>
        <v>next_meeting_iiif_url</v>
      </c>
    </row>
    <row r="242" spans="1:29" x14ac:dyDescent="0.2">
      <c r="A242" t="s">
        <v>1085</v>
      </c>
      <c r="B242" t="s">
        <v>63</v>
      </c>
      <c r="D242" t="b">
        <v>0</v>
      </c>
      <c r="E242" t="b">
        <v>0</v>
      </c>
      <c r="F242">
        <v>1</v>
      </c>
      <c r="G242">
        <v>1</v>
      </c>
      <c r="I242" t="s">
        <v>1086</v>
      </c>
      <c r="J242">
        <v>3798</v>
      </c>
      <c r="K242">
        <v>97</v>
      </c>
      <c r="N242">
        <f t="shared" si="5"/>
        <v>194</v>
      </c>
      <c r="O242">
        <v>192</v>
      </c>
      <c r="P242">
        <v>0</v>
      </c>
      <c r="Q242">
        <v>1</v>
      </c>
      <c r="R242">
        <v>1</v>
      </c>
      <c r="S242" t="s">
        <v>33</v>
      </c>
      <c r="T242" t="str">
        <f>HYPERLINK("https://images.diginfra.net/framed3.html?imagesetuuid=c3e98c27-09b5-46e4-b19a-b811d240b059&amp;uri=https://images.diginfra.net/iiif/NL-HaNA_1.01.02/3798/NL-HaNA_1.01.02_3798_0097.jpg", "viewer_url")</f>
        <v>viewer_url</v>
      </c>
      <c r="U242" t="str">
        <f>HYPERLINK("https://images.diginfra.net/iiif/NL-HaNA_1.01.02/3798/NL-HaNA_1.01.02_3798_0097.jpg/329,616,1090,2789/full/0/default.jpg", "iiif_url")</f>
        <v>iiif_url</v>
      </c>
      <c r="V242" t="s">
        <v>33</v>
      </c>
      <c r="W242" t="s">
        <v>1087</v>
      </c>
      <c r="X242" t="str">
        <f>HYPERLINK("https://images.diginfra.net/framed3.html?imagesetuuid=c3e98c27-09b5-46e4-b19a-b811d240b059&amp;uri=https://images.diginfra.net/iiif/NL-HaNA_1.01.02/3798/NL-HaNA_1.01.02_3798_0095.jpg", "prev_meeting_viewer_url")</f>
        <v>prev_meeting_viewer_url</v>
      </c>
      <c r="Y242" t="str">
        <f>HYPERLINK("https://images.diginfra.net/iiif/NL-HaNA_1.01.02/3798/NL-HaNA_1.01.02_3798_0095.jpg/2447,997,1091,2359/full/0/default.jpg", "prev_meeting_iiif_url")</f>
        <v>prev_meeting_iiif_url</v>
      </c>
      <c r="Z242" t="s">
        <v>33</v>
      </c>
      <c r="AA242" t="s">
        <v>1088</v>
      </c>
      <c r="AB242" t="str">
        <f>HYPERLINK("https://images.diginfra.net/framed3.html?imagesetuuid=c3e98c27-09b5-46e4-b19a-b811d240b059&amp;uri=https://images.diginfra.net/iiif/NL-HaNA_1.01.02/3798/NL-HaNA_1.01.02_3798_0097.jpg", "next_meeting_viewer_url")</f>
        <v>next_meeting_viewer_url</v>
      </c>
      <c r="AC242" t="str">
        <f>HYPERLINK("https://images.diginfra.net/iiif/NL-HaNA_1.01.02/3798/NL-HaNA_1.01.02_3798_0097.jpg/329,616,1090,2789/full/0/default.jpg", "next_meeting_iiif_url")</f>
        <v>next_meeting_iiif_url</v>
      </c>
    </row>
    <row r="243" spans="1:29" x14ac:dyDescent="0.2">
      <c r="A243" t="s">
        <v>1089</v>
      </c>
      <c r="B243" t="s">
        <v>37</v>
      </c>
      <c r="C243" t="s">
        <v>876</v>
      </c>
      <c r="D243" t="b">
        <v>1</v>
      </c>
      <c r="E243" t="b">
        <v>1</v>
      </c>
      <c r="F243">
        <v>1</v>
      </c>
      <c r="I243" t="s">
        <v>1090</v>
      </c>
      <c r="J243">
        <v>3827</v>
      </c>
      <c r="K243">
        <v>280</v>
      </c>
      <c r="L243">
        <v>1174</v>
      </c>
      <c r="M243">
        <v>1246</v>
      </c>
      <c r="N243">
        <f t="shared" si="5"/>
        <v>560</v>
      </c>
      <c r="O243">
        <v>558</v>
      </c>
      <c r="P243">
        <v>1</v>
      </c>
      <c r="Q243">
        <v>1</v>
      </c>
      <c r="R243">
        <v>0</v>
      </c>
      <c r="S243" t="s">
        <v>33</v>
      </c>
      <c r="T243" t="str">
        <f>HYPERLINK("https://images.diginfra.net/framed3.html?imagesetuuid=cb4f4e9c-bdd8-4992-9de8-6ddd9348148f&amp;uri=https://images.diginfra.net/iiif/NL-HaNA_1.01.02/3827/NL-HaNA_1.01.02_3827_0280.jpg", "viewer_url")</f>
        <v>viewer_url</v>
      </c>
      <c r="U243" t="str">
        <f>HYPERLINK("https://images.diginfra.net/iiif/NL-HaNA_1.01.02/3827/NL-HaNA_1.01.02_3827_0280.jpg/1174,1246,1090,2145/full/0/default.jpg", "iiif_url")</f>
        <v>iiif_url</v>
      </c>
      <c r="V243" t="s">
        <v>33</v>
      </c>
      <c r="W243" t="s">
        <v>1091</v>
      </c>
      <c r="X243" t="str">
        <f>HYPERLINK("https://images.diginfra.net/framed3.html?imagesetuuid=cb4f4e9c-bdd8-4992-9de8-6ddd9348148f&amp;uri=https://images.diginfra.net/iiif/NL-HaNA_1.01.02/3827/NL-HaNA_1.01.02_3827_0279.jpg", "prev_meeting_viewer_url")</f>
        <v>prev_meeting_viewer_url</v>
      </c>
      <c r="Y243" t="str">
        <f>HYPERLINK("https://images.diginfra.net/iiif/NL-HaNA_1.01.02/3827/NL-HaNA_1.01.02_3827_0279.jpg/3294,237,1089,3123/full/0/default.jpg", "prev_meeting_iiif_url")</f>
        <v>prev_meeting_iiif_url</v>
      </c>
      <c r="Z243" t="s">
        <v>33</v>
      </c>
      <c r="AA243" t="s">
        <v>874</v>
      </c>
      <c r="AB243" t="str">
        <f>HYPERLINK("https://images.diginfra.net/framed3.html?imagesetuuid=cb4f4e9c-bdd8-4992-9de8-6ddd9348148f&amp;uri=https://images.diginfra.net/iiif/NL-HaNA_1.01.02/3827/NL-HaNA_1.01.02_3827_0281.jpg", "next_meeting_viewer_url")</f>
        <v>next_meeting_viewer_url</v>
      </c>
      <c r="AC243" t="str">
        <f>HYPERLINK("https://images.diginfra.net/iiif/NL-HaNA_1.01.02/3827/NL-HaNA_1.01.02_3827_0281.jpg/2359,679,1079,2635/full/0/default.jpg", "next_meeting_iiif_url")</f>
        <v>next_meeting_iiif_url</v>
      </c>
    </row>
    <row r="244" spans="1:29" x14ac:dyDescent="0.2">
      <c r="A244" t="s">
        <v>1092</v>
      </c>
      <c r="B244" t="s">
        <v>63</v>
      </c>
      <c r="D244" t="b">
        <v>0</v>
      </c>
      <c r="E244" t="b">
        <v>0</v>
      </c>
      <c r="F244">
        <v>1</v>
      </c>
      <c r="G244">
        <v>1</v>
      </c>
      <c r="I244" t="s">
        <v>1093</v>
      </c>
      <c r="J244">
        <v>3817</v>
      </c>
      <c r="K244">
        <v>196</v>
      </c>
      <c r="N244">
        <f t="shared" si="5"/>
        <v>392</v>
      </c>
      <c r="O244">
        <v>390</v>
      </c>
      <c r="P244">
        <v>0</v>
      </c>
      <c r="Q244">
        <v>1</v>
      </c>
      <c r="R244">
        <v>1</v>
      </c>
      <c r="S244" t="s">
        <v>33</v>
      </c>
      <c r="T244" t="str">
        <f>HYPERLINK("https://images.diginfra.net/framed3.html?imagesetuuid=c13c7ed6-75ba-4433-9b44-0db683995fb3&amp;uri=https://images.diginfra.net/iiif/NL-HaNA_1.01.02/3817/NL-HaNA_1.01.02_3817_0196.jpg", "viewer_url")</f>
        <v>viewer_url</v>
      </c>
      <c r="U244" t="str">
        <f>HYPERLINK("https://images.diginfra.net/iiif/NL-HaNA_1.01.02/3817/NL-HaNA_1.01.02_3817_0196.jpg/229,712,1092,2596/full/0/default.jpg", "iiif_url")</f>
        <v>iiif_url</v>
      </c>
      <c r="V244" t="s">
        <v>33</v>
      </c>
      <c r="W244" t="s">
        <v>852</v>
      </c>
      <c r="X244" t="str">
        <f>HYPERLINK("https://images.diginfra.net/framed3.html?imagesetuuid=c13c7ed6-75ba-4433-9b44-0db683995fb3&amp;uri=https://images.diginfra.net/iiif/NL-HaNA_1.01.02/3817/NL-HaNA_1.01.02_3817_0194.jpg", "prev_meeting_viewer_url")</f>
        <v>prev_meeting_viewer_url</v>
      </c>
      <c r="Y244" t="str">
        <f>HYPERLINK("https://images.diginfra.net/iiif/NL-HaNA_1.01.02/3817/NL-HaNA_1.01.02_3817_0194.jpg/2343,1645,1092,1735/full/0/default.jpg", "prev_meeting_iiif_url")</f>
        <v>prev_meeting_iiif_url</v>
      </c>
      <c r="Z244" t="s">
        <v>33</v>
      </c>
      <c r="AA244" t="s">
        <v>1094</v>
      </c>
      <c r="AB244" t="str">
        <f>HYPERLINK("https://images.diginfra.net/framed3.html?imagesetuuid=c13c7ed6-75ba-4433-9b44-0db683995fb3&amp;uri=https://images.diginfra.net/iiif/NL-HaNA_1.01.02/3817/NL-HaNA_1.01.02_3817_0196.jpg", "next_meeting_viewer_url")</f>
        <v>next_meeting_viewer_url</v>
      </c>
      <c r="AC244" t="str">
        <f>HYPERLINK("https://images.diginfra.net/iiif/NL-HaNA_1.01.02/3817/NL-HaNA_1.01.02_3817_0196.jpg/229,712,1092,2596/full/0/default.jpg", "next_meeting_iiif_url")</f>
        <v>next_meeting_iiif_url</v>
      </c>
    </row>
    <row r="245" spans="1:29" x14ac:dyDescent="0.2">
      <c r="A245" t="s">
        <v>1095</v>
      </c>
      <c r="B245" t="s">
        <v>79</v>
      </c>
      <c r="C245" t="s">
        <v>892</v>
      </c>
      <c r="D245" t="b">
        <v>1</v>
      </c>
      <c r="E245" t="b">
        <v>1</v>
      </c>
      <c r="F245">
        <v>1</v>
      </c>
      <c r="I245" t="s">
        <v>1096</v>
      </c>
      <c r="J245">
        <v>3784</v>
      </c>
      <c r="K245">
        <v>135</v>
      </c>
      <c r="L245">
        <v>224</v>
      </c>
      <c r="M245">
        <v>376</v>
      </c>
      <c r="N245">
        <f t="shared" si="5"/>
        <v>270</v>
      </c>
      <c r="O245">
        <v>268</v>
      </c>
      <c r="P245">
        <v>0</v>
      </c>
      <c r="Q245">
        <v>0</v>
      </c>
      <c r="R245">
        <v>0</v>
      </c>
      <c r="S245" t="s">
        <v>33</v>
      </c>
      <c r="T245" t="str">
        <f>HYPERLINK("https://images.diginfra.net/framed3.html?imagesetuuid=cb2f6e2d-502d-41d8-a51c-455c64ed98c9&amp;uri=https://images.diginfra.net/iiif/NL-HaNA_1.01.02/3784/NL-HaNA_1.01.02_3784_0135.jpg", "viewer_url")</f>
        <v>viewer_url</v>
      </c>
      <c r="U245" t="str">
        <f>HYPERLINK("https://images.diginfra.net/iiif/NL-HaNA_1.01.02/3784/NL-HaNA_1.01.02_3784_0135.jpg/224,376,1100,3063/full/0/default.jpg", "iiif_url")</f>
        <v>iiif_url</v>
      </c>
      <c r="V245" t="s">
        <v>33</v>
      </c>
      <c r="W245" t="s">
        <v>894</v>
      </c>
      <c r="X245" t="str">
        <f>HYPERLINK("https://images.diginfra.net/framed3.html?imagesetuuid=cb2f6e2d-502d-41d8-a51c-455c64ed98c9&amp;uri=https://images.diginfra.net/iiif/NL-HaNA_1.01.02/3784/NL-HaNA_1.01.02_3784_0133.jpg", "prev_meeting_viewer_url")</f>
        <v>prev_meeting_viewer_url</v>
      </c>
      <c r="Y245" t="str">
        <f>HYPERLINK("https://images.diginfra.net/iiif/NL-HaNA_1.01.02/3784/NL-HaNA_1.01.02_3784_0133.jpg/248,1842,1085,1556/full/0/default.jpg", "prev_meeting_iiif_url")</f>
        <v>prev_meeting_iiif_url</v>
      </c>
      <c r="Z245" t="s">
        <v>33</v>
      </c>
      <c r="AA245" t="s">
        <v>1097</v>
      </c>
      <c r="AB245" t="str">
        <f>HYPERLINK("https://images.diginfra.net/framed3.html?imagesetuuid=cb2f6e2d-502d-41d8-a51c-455c64ed98c9&amp;uri=https://images.diginfra.net/iiif/NL-HaNA_1.01.02/3784/NL-HaNA_1.01.02_3784_0138.jpg", "next_meeting_viewer_url")</f>
        <v>next_meeting_viewer_url</v>
      </c>
      <c r="AC245" t="str">
        <f>HYPERLINK("https://images.diginfra.net/iiif/NL-HaNA_1.01.02/3784/NL-HaNA_1.01.02_3784_0138.jpg/262,712,1093,2669/full/0/default.jpg", "next_meeting_iiif_url")</f>
        <v>next_meeting_iiif_url</v>
      </c>
    </row>
    <row r="246" spans="1:29" x14ac:dyDescent="0.2">
      <c r="A246" t="s">
        <v>1098</v>
      </c>
      <c r="B246" t="s">
        <v>59</v>
      </c>
      <c r="C246" t="s">
        <v>1099</v>
      </c>
      <c r="D246" t="b">
        <v>1</v>
      </c>
      <c r="E246" t="b">
        <v>1</v>
      </c>
      <c r="F246">
        <v>1</v>
      </c>
      <c r="I246" t="s">
        <v>1100</v>
      </c>
      <c r="J246">
        <v>3801</v>
      </c>
      <c r="K246">
        <v>253</v>
      </c>
      <c r="L246">
        <v>2473</v>
      </c>
      <c r="M246">
        <v>2418</v>
      </c>
      <c r="N246">
        <f t="shared" si="5"/>
        <v>506</v>
      </c>
      <c r="O246">
        <v>505</v>
      </c>
      <c r="P246">
        <v>0</v>
      </c>
      <c r="Q246">
        <v>3</v>
      </c>
      <c r="R246">
        <v>0</v>
      </c>
      <c r="S246" t="s">
        <v>33</v>
      </c>
      <c r="T246" t="str">
        <f>HYPERLINK("https://images.diginfra.net/framed3.html?imagesetuuid=f36c8416-59a8-4b1a-a82a-ef225cbd1971&amp;uri=https://images.diginfra.net/iiif/NL-HaNA_1.01.02/3801/NL-HaNA_1.01.02_3801_0253.jpg", "viewer_url")</f>
        <v>viewer_url</v>
      </c>
      <c r="U246" t="str">
        <f>HYPERLINK("https://images.diginfra.net/iiif/NL-HaNA_1.01.02/3801/NL-HaNA_1.01.02_3801_0253.jpg/2473,2418,1031,990/full/0/default.jpg", "iiif_url")</f>
        <v>iiif_url</v>
      </c>
      <c r="V246" t="s">
        <v>33</v>
      </c>
      <c r="W246" t="s">
        <v>1101</v>
      </c>
      <c r="X246" t="str">
        <f>HYPERLINK("https://images.diginfra.net/framed3.html?imagesetuuid=f36c8416-59a8-4b1a-a82a-ef225cbd1971&amp;uri=https://images.diginfra.net/iiif/NL-HaNA_1.01.02/3801/NL-HaNA_1.01.02_3801_0252.jpg", "prev_meeting_viewer_url")</f>
        <v>prev_meeting_viewer_url</v>
      </c>
      <c r="Y246" t="str">
        <f>HYPERLINK("https://images.diginfra.net/iiif/NL-HaNA_1.01.02/3801/NL-HaNA_1.01.02_3801_0252.jpg/2440,461,1097,2923/full/0/default.jpg", "prev_meeting_iiif_url")</f>
        <v>prev_meeting_iiif_url</v>
      </c>
      <c r="Z246" t="s">
        <v>33</v>
      </c>
      <c r="AA246" t="s">
        <v>1102</v>
      </c>
      <c r="AB246" t="str">
        <f>HYPERLINK("https://images.diginfra.net/framed3.html?imagesetuuid=f36c8416-59a8-4b1a-a82a-ef225cbd1971&amp;uri=https://images.diginfra.net/iiif/NL-HaNA_1.01.02/3801/NL-HaNA_1.01.02_3801_0254.jpg", "next_meeting_viewer_url")</f>
        <v>next_meeting_viewer_url</v>
      </c>
      <c r="AC246" t="str">
        <f>HYPERLINK("https://images.diginfra.net/iiif/NL-HaNA_1.01.02/3801/NL-HaNA_1.01.02_3801_0254.jpg/2473,1535,1034,1849/full/0/default.jpg", "next_meeting_iiif_url")</f>
        <v>next_meeting_iiif_url</v>
      </c>
    </row>
    <row r="247" spans="1:29" x14ac:dyDescent="0.2">
      <c r="A247" t="s">
        <v>1103</v>
      </c>
      <c r="B247" t="s">
        <v>48</v>
      </c>
      <c r="C247" t="s">
        <v>1104</v>
      </c>
      <c r="D247" t="b">
        <v>1</v>
      </c>
      <c r="E247" t="b">
        <v>1</v>
      </c>
      <c r="F247">
        <v>1</v>
      </c>
      <c r="I247" t="s">
        <v>1105</v>
      </c>
      <c r="J247">
        <v>3832</v>
      </c>
      <c r="K247">
        <v>406</v>
      </c>
      <c r="L247">
        <v>3191</v>
      </c>
      <c r="M247">
        <v>789</v>
      </c>
      <c r="N247">
        <f t="shared" si="5"/>
        <v>812</v>
      </c>
      <c r="O247">
        <v>811</v>
      </c>
      <c r="P247">
        <v>0</v>
      </c>
      <c r="Q247">
        <v>1</v>
      </c>
      <c r="R247">
        <v>25</v>
      </c>
      <c r="S247" t="s">
        <v>33</v>
      </c>
      <c r="T247" t="str">
        <f>HYPERLINK("https://images.diginfra.net/framed3.html?imagesetuuid=e4d299a2-71b5-40fc-b329-60132fadd11f&amp;uri=https://images.diginfra.net/iiif/NL-HaNA_1.01.02/3832/NL-HaNA_1.01.02_3832_0406.jpg", "viewer_url")</f>
        <v>viewer_url</v>
      </c>
      <c r="U247" t="str">
        <f>HYPERLINK("https://images.diginfra.net/iiif/NL-HaNA_1.01.02/3832/NL-HaNA_1.01.02_3832_0406.jpg/3191,789,1089,2568/full/0/default.jpg", "iiif_url")</f>
        <v>iiif_url</v>
      </c>
      <c r="V247" t="s">
        <v>33</v>
      </c>
      <c r="W247" t="s">
        <v>1106</v>
      </c>
      <c r="X247" t="str">
        <f>HYPERLINK("https://images.diginfra.net/framed3.html?imagesetuuid=e4d299a2-71b5-40fc-b329-60132fadd11f&amp;uri=https://images.diginfra.net/iiif/NL-HaNA_1.01.02/3832/NL-HaNA_1.01.02_3832_0406.jpg", "prev_meeting_viewer_url")</f>
        <v>prev_meeting_viewer_url</v>
      </c>
      <c r="Y247" t="str">
        <f>HYPERLINK("https://images.diginfra.net/iiif/NL-HaNA_1.01.02/3832/NL-HaNA_1.01.02_3832_0406.jpg/219,2719,1089,615/full/0/default.jpg", "prev_meeting_iiif_url")</f>
        <v>prev_meeting_iiif_url</v>
      </c>
      <c r="Z247" t="s">
        <v>33</v>
      </c>
      <c r="AA247" t="s">
        <v>1107</v>
      </c>
      <c r="AB247" t="str">
        <f>HYPERLINK("https://images.diginfra.net/framed3.html?imagesetuuid=e4d299a2-71b5-40fc-b329-60132fadd11f&amp;uri=https://images.diginfra.net/iiif/NL-HaNA_1.01.02/3832/NL-HaNA_1.01.02_3832_0408.jpg", "next_meeting_viewer_url")</f>
        <v>next_meeting_viewer_url</v>
      </c>
      <c r="AC247" t="str">
        <f>HYPERLINK("https://images.diginfra.net/iiif/NL-HaNA_1.01.02/3832/NL-HaNA_1.01.02_3832_0408.jpg/3189,2168,1081,1227/full/0/default.jpg", "next_meeting_iiif_url")</f>
        <v>next_meeting_iiif_url</v>
      </c>
    </row>
    <row r="248" spans="1:29" x14ac:dyDescent="0.2">
      <c r="A248" t="s">
        <v>1108</v>
      </c>
      <c r="B248" t="s">
        <v>63</v>
      </c>
      <c r="D248" t="b">
        <v>0</v>
      </c>
      <c r="E248" t="b">
        <v>0</v>
      </c>
      <c r="F248">
        <v>1</v>
      </c>
      <c r="G248">
        <v>1</v>
      </c>
      <c r="I248" t="s">
        <v>1109</v>
      </c>
      <c r="J248">
        <v>3852</v>
      </c>
      <c r="K248">
        <v>546</v>
      </c>
      <c r="N248">
        <f t="shared" si="5"/>
        <v>1092</v>
      </c>
      <c r="O248">
        <v>1091</v>
      </c>
      <c r="P248">
        <v>1</v>
      </c>
      <c r="Q248">
        <v>2</v>
      </c>
      <c r="R248">
        <v>0</v>
      </c>
      <c r="S248" t="s">
        <v>33</v>
      </c>
      <c r="T248" t="str">
        <f>HYPERLINK("https://images.diginfra.net/framed3.html?imagesetuuid=3b3d915a-84ba-4c76-9942-747a007cc965&amp;uri=https://images.diginfra.net/iiif/NL-HaNA_1.01.02/3852/NL-HaNA_1.01.02_3852_0546.jpg", "viewer_url")</f>
        <v>viewer_url</v>
      </c>
      <c r="U248" t="str">
        <f>HYPERLINK("https://images.diginfra.net/iiif/NL-HaNA_1.01.02/3852/NL-HaNA_1.01.02_3852_0546.jpg/3422,2924,874,566/full/0/default.jpg", "iiif_url")</f>
        <v>iiif_url</v>
      </c>
      <c r="V248" t="s">
        <v>33</v>
      </c>
      <c r="W248" t="s">
        <v>1110</v>
      </c>
      <c r="X248" t="str">
        <f>HYPERLINK("https://images.diginfra.net/framed3.html?imagesetuuid=3b3d915a-84ba-4c76-9942-747a007cc965&amp;uri=https://images.diginfra.net/iiif/NL-HaNA_1.01.02/3852/NL-HaNA_1.01.02_3852_0539.jpg", "prev_meeting_viewer_url")</f>
        <v>prev_meeting_viewer_url</v>
      </c>
      <c r="Y248" t="str">
        <f>HYPERLINK("https://images.diginfra.net/iiif/NL-HaNA_1.01.02/3852/NL-HaNA_1.01.02_3852_0539.jpg/293,325,1073,3173/full/0/default.jpg", "prev_meeting_iiif_url")</f>
        <v>prev_meeting_iiif_url</v>
      </c>
      <c r="Z248" t="s">
        <v>33</v>
      </c>
      <c r="AA248" t="s">
        <v>1111</v>
      </c>
      <c r="AB248" t="str">
        <f>HYPERLINK("https://images.diginfra.net/framed3.html?imagesetuuid=3b3d915a-84ba-4c76-9942-747a007cc965&amp;uri=https://images.diginfra.net/iiif/NL-HaNA_1.01.02/3852/NL-HaNA_1.01.02_3852_0546.jpg", "next_meeting_viewer_url")</f>
        <v>next_meeting_viewer_url</v>
      </c>
      <c r="AC248" t="str">
        <f>HYPERLINK("https://images.diginfra.net/iiif/NL-HaNA_1.01.02/3852/NL-HaNA_1.01.02_3852_0546.jpg/3422,2924,874,566/full/0/default.jpg", "next_meeting_iiif_url")</f>
        <v>next_meeting_iiif_url</v>
      </c>
    </row>
    <row r="249" spans="1:29" x14ac:dyDescent="0.2">
      <c r="A249" t="s">
        <v>1112</v>
      </c>
      <c r="B249" t="s">
        <v>59</v>
      </c>
      <c r="D249" t="b">
        <v>0</v>
      </c>
      <c r="E249" t="b">
        <v>0</v>
      </c>
      <c r="F249">
        <v>1</v>
      </c>
      <c r="G249">
        <v>1</v>
      </c>
      <c r="I249" t="s">
        <v>1113</v>
      </c>
      <c r="J249">
        <v>3856</v>
      </c>
      <c r="K249">
        <v>217</v>
      </c>
      <c r="N249">
        <f t="shared" si="5"/>
        <v>434</v>
      </c>
      <c r="O249">
        <v>433</v>
      </c>
      <c r="P249">
        <v>0</v>
      </c>
      <c r="Q249">
        <v>0</v>
      </c>
      <c r="R249">
        <v>0</v>
      </c>
      <c r="S249" t="s">
        <v>33</v>
      </c>
      <c r="T249" t="str">
        <f>HYPERLINK("https://images.diginfra.net/framed3.html?imagesetuuid=eefad0ef-c5b6-4672-8a4e-c123198eddbf&amp;uri=https://images.diginfra.net/iiif/NL-HaNA_1.01.02/3856/NL-HaNA_1.01.02_3856_0217.jpg", "viewer_url")</f>
        <v>viewer_url</v>
      </c>
      <c r="U249" t="str">
        <f>HYPERLINK("https://images.diginfra.net/iiif/NL-HaNA_1.01.02/3856/NL-HaNA_1.01.02_3856_0217.jpg/3246,273,1105,3110/full/0/default.jpg", "iiif_url")</f>
        <v>iiif_url</v>
      </c>
      <c r="V249" t="s">
        <v>33</v>
      </c>
      <c r="W249" t="s">
        <v>1004</v>
      </c>
      <c r="X249" t="str">
        <f>HYPERLINK("https://images.diginfra.net/framed3.html?imagesetuuid=eefad0ef-c5b6-4672-8a4e-c123198eddbf&amp;uri=https://images.diginfra.net/iiif/NL-HaNA_1.01.02/3856/NL-HaNA_1.01.02_3856_0214.jpg", "prev_meeting_viewer_url")</f>
        <v>prev_meeting_viewer_url</v>
      </c>
      <c r="Y249" t="str">
        <f>HYPERLINK("https://images.diginfra.net/iiif/NL-HaNA_1.01.02/3856/NL-HaNA_1.01.02_3856_0214.jpg/1203,525,1066,2926/full/0/default.jpg", "prev_meeting_iiif_url")</f>
        <v>prev_meeting_iiif_url</v>
      </c>
      <c r="Z249" t="s">
        <v>33</v>
      </c>
      <c r="AA249" t="s">
        <v>1002</v>
      </c>
      <c r="AB249" t="str">
        <f>HYPERLINK("https://images.diginfra.net/framed3.html?imagesetuuid=eefad0ef-c5b6-4672-8a4e-c123198eddbf&amp;uri=https://images.diginfra.net/iiif/NL-HaNA_1.01.02/3856/NL-HaNA_1.01.02_3856_0217.jpg", "next_meeting_viewer_url")</f>
        <v>next_meeting_viewer_url</v>
      </c>
      <c r="AC249" t="str">
        <f>HYPERLINK("https://images.diginfra.net/iiif/NL-HaNA_1.01.02/3856/NL-HaNA_1.01.02_3856_0217.jpg/3246,273,1105,3110/full/0/default.jpg", "next_meeting_iiif_url")</f>
        <v>next_meeting_iiif_url</v>
      </c>
    </row>
    <row r="250" spans="1:29" x14ac:dyDescent="0.2">
      <c r="A250" t="s">
        <v>1114</v>
      </c>
      <c r="B250" t="s">
        <v>59</v>
      </c>
      <c r="C250" t="s">
        <v>1115</v>
      </c>
      <c r="D250" t="b">
        <v>1</v>
      </c>
      <c r="E250" t="b">
        <v>1</v>
      </c>
      <c r="F250">
        <v>1</v>
      </c>
      <c r="I250" t="s">
        <v>1116</v>
      </c>
      <c r="J250">
        <v>3806</v>
      </c>
      <c r="K250">
        <v>176</v>
      </c>
      <c r="L250">
        <v>2419</v>
      </c>
      <c r="M250">
        <v>922</v>
      </c>
      <c r="N250">
        <f t="shared" si="5"/>
        <v>352</v>
      </c>
      <c r="O250">
        <v>351</v>
      </c>
      <c r="P250">
        <v>0</v>
      </c>
      <c r="Q250">
        <v>1</v>
      </c>
      <c r="R250">
        <v>0</v>
      </c>
      <c r="S250" t="s">
        <v>33</v>
      </c>
      <c r="T250" t="str">
        <f>HYPERLINK("https://images.diginfra.net/framed3.html?imagesetuuid=0c00a1f2-d59c-4408-905f-fe388b02204f&amp;uri=https://images.diginfra.net/iiif/NL-HaNA_1.01.02/3806/NL-HaNA_1.01.02_3806_0176.jpg", "viewer_url")</f>
        <v>viewer_url</v>
      </c>
      <c r="U250" t="str">
        <f>HYPERLINK("https://images.diginfra.net/iiif/NL-HaNA_1.01.02/3806/NL-HaNA_1.01.02_3806_0176.jpg/2419,922,1107,2510/full/0/default.jpg", "iiif_url")</f>
        <v>iiif_url</v>
      </c>
      <c r="V250" t="s">
        <v>33</v>
      </c>
      <c r="W250" t="s">
        <v>1117</v>
      </c>
      <c r="X250" t="str">
        <f>HYPERLINK("https://images.diginfra.net/framed3.html?imagesetuuid=0c00a1f2-d59c-4408-905f-fe388b02204f&amp;uri=https://images.diginfra.net/iiif/NL-HaNA_1.01.02/3806/NL-HaNA_1.01.02_3806_0175.jpg", "prev_meeting_viewer_url")</f>
        <v>prev_meeting_viewer_url</v>
      </c>
      <c r="Y250" t="str">
        <f>HYPERLINK("https://images.diginfra.net/iiif/NL-HaNA_1.01.02/3806/NL-HaNA_1.01.02_3806_0175.jpg/217,1337,1108,2095/full/0/default.jpg", "prev_meeting_iiif_url")</f>
        <v>prev_meeting_iiif_url</v>
      </c>
      <c r="Z250" t="s">
        <v>33</v>
      </c>
      <c r="AA250" t="s">
        <v>1118</v>
      </c>
      <c r="AB250" t="str">
        <f>HYPERLINK("https://images.diginfra.net/framed3.html?imagesetuuid=0c00a1f2-d59c-4408-905f-fe388b02204f&amp;uri=https://images.diginfra.net/iiif/NL-HaNA_1.01.02/3806/NL-HaNA_1.01.02_3806_0177.jpg", "next_meeting_viewer_url")</f>
        <v>next_meeting_viewer_url</v>
      </c>
      <c r="AC250" t="str">
        <f>HYPERLINK("https://images.diginfra.net/iiif/NL-HaNA_1.01.02/3806/NL-HaNA_1.01.02_3806_0177.jpg/1331,2981,789,323/full/0/default.jpg", "next_meeting_iiif_url")</f>
        <v>next_meeting_iiif_url</v>
      </c>
    </row>
    <row r="251" spans="1:29" x14ac:dyDescent="0.2">
      <c r="A251" t="s">
        <v>1119</v>
      </c>
      <c r="B251" t="s">
        <v>63</v>
      </c>
      <c r="D251" t="b">
        <v>0</v>
      </c>
      <c r="E251" t="b">
        <v>0</v>
      </c>
      <c r="F251">
        <v>1</v>
      </c>
      <c r="G251">
        <v>1</v>
      </c>
      <c r="I251" t="s">
        <v>1120</v>
      </c>
      <c r="J251">
        <v>3766</v>
      </c>
      <c r="K251">
        <v>113</v>
      </c>
      <c r="N251">
        <f t="shared" si="5"/>
        <v>226</v>
      </c>
      <c r="O251">
        <v>224</v>
      </c>
      <c r="P251">
        <v>1</v>
      </c>
      <c r="Q251">
        <v>3</v>
      </c>
      <c r="R251">
        <v>0</v>
      </c>
      <c r="S251" t="s">
        <v>33</v>
      </c>
      <c r="T251" t="str">
        <f>HYPERLINK("https://images.diginfra.net/framed3.html?imagesetuuid=a6b973ba-587c-4902-9423-42544f6e97a0&amp;uri=https://images.diginfra.net/iiif/NL-HaNA_1.01.02/3766/NL-HaNA_1.01.02_3766_0113.jpg", "viewer_url")</f>
        <v>viewer_url</v>
      </c>
      <c r="U251" t="str">
        <f>HYPERLINK("https://images.diginfra.net/iiif/NL-HaNA_1.01.02/3766/NL-HaNA_1.01.02_3766_0113.jpg/1273,1805,1123,1589/full/0/default.jpg", "iiif_url")</f>
        <v>iiif_url</v>
      </c>
      <c r="V251" t="s">
        <v>33</v>
      </c>
      <c r="W251" t="s">
        <v>1121</v>
      </c>
      <c r="X251" t="str">
        <f>HYPERLINK("https://images.diginfra.net/framed3.html?imagesetuuid=a6b973ba-587c-4902-9423-42544f6e97a0&amp;uri=https://images.diginfra.net/iiif/NL-HaNA_1.01.02/3766/NL-HaNA_1.01.02_3766_0112.jpg", "prev_meeting_viewer_url")</f>
        <v>prev_meeting_viewer_url</v>
      </c>
      <c r="Y251" t="str">
        <f>HYPERLINK("https://images.diginfra.net/iiif/NL-HaNA_1.01.02/3766/NL-HaNA_1.01.02_3766_0112.jpg/1286,951,1130,2479/full/0/default.jpg", "prev_meeting_iiif_url")</f>
        <v>prev_meeting_iiif_url</v>
      </c>
      <c r="Z251" t="s">
        <v>33</v>
      </c>
      <c r="AA251" t="s">
        <v>1122</v>
      </c>
      <c r="AB251" t="str">
        <f>HYPERLINK("https://images.diginfra.net/framed3.html?imagesetuuid=a6b973ba-587c-4902-9423-42544f6e97a0&amp;uri=https://images.diginfra.net/iiif/NL-HaNA_1.01.02/3766/NL-HaNA_1.01.02_3766_0113.jpg", "next_meeting_viewer_url")</f>
        <v>next_meeting_viewer_url</v>
      </c>
      <c r="AC251" t="str">
        <f>HYPERLINK("https://images.diginfra.net/iiif/NL-HaNA_1.01.02/3766/NL-HaNA_1.01.02_3766_0113.jpg/1273,1805,1123,1589/full/0/default.jpg", "next_meeting_iiif_url")</f>
        <v>next_meeting_iiif_url</v>
      </c>
    </row>
    <row r="252" spans="1:29" x14ac:dyDescent="0.2">
      <c r="A252" t="s">
        <v>1123</v>
      </c>
      <c r="B252" t="s">
        <v>59</v>
      </c>
      <c r="D252" t="b">
        <v>0</v>
      </c>
      <c r="E252" t="b">
        <v>0</v>
      </c>
      <c r="F252">
        <v>1</v>
      </c>
      <c r="G252">
        <v>1</v>
      </c>
      <c r="I252" t="s">
        <v>1124</v>
      </c>
      <c r="J252">
        <v>3811</v>
      </c>
      <c r="K252">
        <v>284</v>
      </c>
      <c r="N252">
        <f t="shared" si="5"/>
        <v>568</v>
      </c>
      <c r="O252">
        <v>566</v>
      </c>
      <c r="P252">
        <v>1</v>
      </c>
      <c r="Q252">
        <v>0</v>
      </c>
      <c r="R252">
        <v>36</v>
      </c>
      <c r="S252" t="s">
        <v>33</v>
      </c>
      <c r="T252" t="str">
        <f>HYPERLINK("https://images.diginfra.net/framed3.html?imagesetuuid=f707f64c-15ec-4624-ba99-82cb83d16c2c&amp;uri=https://images.diginfra.net/iiif/NL-HaNA_1.01.02/3811/NL-HaNA_1.01.02_3811_0284.jpg", "viewer_url")</f>
        <v>viewer_url</v>
      </c>
      <c r="U252" t="str">
        <f>HYPERLINK("https://images.diginfra.net/iiif/NL-HaNA_1.01.02/3811/NL-HaNA_1.01.02_3811_0284.jpg/1159,1739,1120,1677/full/0/default.jpg", "iiif_url")</f>
        <v>iiif_url</v>
      </c>
      <c r="V252" t="s">
        <v>33</v>
      </c>
      <c r="W252" t="s">
        <v>1125</v>
      </c>
      <c r="X252" t="str">
        <f>HYPERLINK("https://images.diginfra.net/framed3.html?imagesetuuid=f707f64c-15ec-4624-ba99-82cb83d16c2c&amp;uri=https://images.diginfra.net/iiif/NL-HaNA_1.01.02/3811/NL-HaNA_1.01.02_3811_0283.jpg", "prev_meeting_viewer_url")</f>
        <v>prev_meeting_viewer_url</v>
      </c>
      <c r="Y252" t="str">
        <f>HYPERLINK("https://images.diginfra.net/iiif/NL-HaNA_1.01.02/3811/NL-HaNA_1.01.02_3811_0283.jpg/1166,1391,1105,2011/full/0/default.jpg", "prev_meeting_iiif_url")</f>
        <v>prev_meeting_iiif_url</v>
      </c>
      <c r="Z252" t="s">
        <v>33</v>
      </c>
      <c r="AA252" t="s">
        <v>1126</v>
      </c>
      <c r="AB252" t="str">
        <f>HYPERLINK("https://images.diginfra.net/framed3.html?imagesetuuid=f707f64c-15ec-4624-ba99-82cb83d16c2c&amp;uri=https://images.diginfra.net/iiif/NL-HaNA_1.01.02/3811/NL-HaNA_1.01.02_3811_0284.jpg", "next_meeting_viewer_url")</f>
        <v>next_meeting_viewer_url</v>
      </c>
      <c r="AC252" t="str">
        <f>HYPERLINK("https://images.diginfra.net/iiif/NL-HaNA_1.01.02/3811/NL-HaNA_1.01.02_3811_0284.jpg/1159,1739,1120,1677/full/0/default.jpg", "next_meeting_iiif_url")</f>
        <v>next_meeting_iiif_url</v>
      </c>
    </row>
    <row r="253" spans="1:29" x14ac:dyDescent="0.2">
      <c r="A253" t="s">
        <v>1127</v>
      </c>
      <c r="B253" t="s">
        <v>59</v>
      </c>
      <c r="D253" t="b">
        <v>0</v>
      </c>
      <c r="E253" t="b">
        <v>0</v>
      </c>
      <c r="F253">
        <v>1</v>
      </c>
      <c r="G253">
        <v>1</v>
      </c>
      <c r="I253" t="s">
        <v>1128</v>
      </c>
      <c r="J253">
        <v>3809</v>
      </c>
      <c r="K253">
        <v>178</v>
      </c>
      <c r="N253">
        <f t="shared" si="5"/>
        <v>356</v>
      </c>
      <c r="O253">
        <v>355</v>
      </c>
      <c r="P253">
        <v>1</v>
      </c>
      <c r="Q253">
        <v>2</v>
      </c>
      <c r="R253">
        <v>0</v>
      </c>
      <c r="S253" t="s">
        <v>33</v>
      </c>
      <c r="T253" t="str">
        <f>HYPERLINK("https://images.diginfra.net/framed3.html?imagesetuuid=a1722cc0-6172-4f06-b30b-cbaf0702bf4b&amp;uri=https://images.diginfra.net/iiif/NL-HaNA_1.01.02/3809/NL-HaNA_1.01.02_3809_0178.jpg", "viewer_url")</f>
        <v>viewer_url</v>
      </c>
      <c r="U253" t="str">
        <f>HYPERLINK("https://images.diginfra.net/iiif/NL-HaNA_1.01.02/3809/NL-HaNA_1.01.02_3809_0178.jpg/3589,2980,808,371/full/0/default.jpg", "iiif_url")</f>
        <v>iiif_url</v>
      </c>
      <c r="V253" t="s">
        <v>33</v>
      </c>
      <c r="W253" t="s">
        <v>1129</v>
      </c>
      <c r="X253" t="str">
        <f>HYPERLINK("https://images.diginfra.net/framed3.html?imagesetuuid=a1722cc0-6172-4f06-b30b-cbaf0702bf4b&amp;uri=https://images.diginfra.net/iiif/NL-HaNA_1.01.02/3809/NL-HaNA_1.01.02_3809_0178.jpg", "prev_meeting_viewer_url")</f>
        <v>prev_meeting_viewer_url</v>
      </c>
      <c r="Y253" t="str">
        <f>HYPERLINK("https://images.diginfra.net/iiif/NL-HaNA_1.01.02/3809/NL-HaNA_1.01.02_3809_0178.jpg/381,2590,1039,838/full/0/default.jpg", "prev_meeting_iiif_url")</f>
        <v>prev_meeting_iiif_url</v>
      </c>
      <c r="Z253" t="s">
        <v>33</v>
      </c>
      <c r="AA253" t="s">
        <v>1130</v>
      </c>
      <c r="AB253" t="str">
        <f>HYPERLINK("https://images.diginfra.net/framed3.html?imagesetuuid=a1722cc0-6172-4f06-b30b-cbaf0702bf4b&amp;uri=https://images.diginfra.net/iiif/NL-HaNA_1.01.02/3809/NL-HaNA_1.01.02_3809_0178.jpg", "next_meeting_viewer_url")</f>
        <v>next_meeting_viewer_url</v>
      </c>
      <c r="AC253" t="str">
        <f>HYPERLINK("https://images.diginfra.net/iiif/NL-HaNA_1.01.02/3809/NL-HaNA_1.01.02_3809_0178.jpg/3589,2980,808,371/full/0/default.jpg", "next_meeting_iiif_url")</f>
        <v>next_meeting_iiif_url</v>
      </c>
    </row>
    <row r="254" spans="1:29" x14ac:dyDescent="0.2">
      <c r="A254" t="s">
        <v>1131</v>
      </c>
      <c r="B254" t="s">
        <v>63</v>
      </c>
      <c r="D254" t="b">
        <v>0</v>
      </c>
      <c r="E254" t="b">
        <v>0</v>
      </c>
      <c r="F254">
        <v>1</v>
      </c>
      <c r="G254">
        <v>1</v>
      </c>
      <c r="I254" t="s">
        <v>1132</v>
      </c>
      <c r="J254">
        <v>3783</v>
      </c>
      <c r="K254">
        <v>490</v>
      </c>
      <c r="N254">
        <f t="shared" si="5"/>
        <v>980</v>
      </c>
      <c r="O254">
        <v>978</v>
      </c>
      <c r="P254">
        <v>0</v>
      </c>
      <c r="Q254">
        <v>2</v>
      </c>
      <c r="R254">
        <v>0</v>
      </c>
      <c r="S254" t="s">
        <v>33</v>
      </c>
      <c r="T254" t="str">
        <f>HYPERLINK("https://images.diginfra.net/framed3.html?imagesetuuid=67533019-4ca0-4b08-b87e-fd5590e7a077&amp;uri=https://images.diginfra.net/iiif/NL-HaNA_1.01.02/3783/NL-HaNA_1.01.02_3783_0490.jpg", "viewer_url")</f>
        <v>viewer_url</v>
      </c>
      <c r="U254" t="str">
        <f>HYPERLINK("https://images.diginfra.net/iiif/NL-HaNA_1.01.02/3783/NL-HaNA_1.01.02_3783_0490.jpg/412,2467,1031,972/full/0/default.jpg", "iiif_url")</f>
        <v>iiif_url</v>
      </c>
      <c r="Z254" t="s">
        <v>33</v>
      </c>
      <c r="AA254" t="s">
        <v>1133</v>
      </c>
      <c r="AB254" t="str">
        <f>HYPERLINK("https://images.diginfra.net/framed3.html?imagesetuuid=67533019-4ca0-4b08-b87e-fd5590e7a077&amp;uri=https://images.diginfra.net/iiif/NL-HaNA_1.01.02/3783/NL-HaNA_1.01.02_3783_0490.jpg", "next_meeting_viewer_url")</f>
        <v>next_meeting_viewer_url</v>
      </c>
      <c r="AC254" t="str">
        <f>HYPERLINK("https://images.diginfra.net/iiif/NL-HaNA_1.01.02/3783/NL-HaNA_1.01.02_3783_0490.jpg/412,2467,1031,972/full/0/default.jpg", "next_meeting_iiif_url")</f>
        <v>next_meeting_iiif_url</v>
      </c>
    </row>
    <row r="255" spans="1:29" x14ac:dyDescent="0.2">
      <c r="A255" t="s">
        <v>1134</v>
      </c>
      <c r="B255" t="s">
        <v>85</v>
      </c>
      <c r="C255" t="s">
        <v>1135</v>
      </c>
      <c r="D255" t="b">
        <v>1</v>
      </c>
      <c r="E255" t="b">
        <v>1</v>
      </c>
      <c r="F255">
        <v>1</v>
      </c>
      <c r="I255" t="s">
        <v>1136</v>
      </c>
      <c r="J255">
        <v>3818</v>
      </c>
      <c r="K255">
        <v>182</v>
      </c>
      <c r="L255">
        <v>1211</v>
      </c>
      <c r="M255">
        <v>1033</v>
      </c>
      <c r="N255">
        <f t="shared" si="5"/>
        <v>364</v>
      </c>
      <c r="O255">
        <v>362</v>
      </c>
      <c r="P255">
        <v>1</v>
      </c>
      <c r="Q255">
        <v>0</v>
      </c>
      <c r="R255">
        <v>18</v>
      </c>
      <c r="S255" t="s">
        <v>33</v>
      </c>
      <c r="T255" t="str">
        <f>HYPERLINK("https://images.diginfra.net/framed3.html?imagesetuuid=0a2b2b00-4d8f-4694-bcd4-866d49afa989&amp;uri=https://images.diginfra.net/iiif/NL-HaNA_1.01.02/3818/NL-HaNA_1.01.02_3818_0182.jpg", "viewer_url")</f>
        <v>viewer_url</v>
      </c>
      <c r="U255" t="str">
        <f>HYPERLINK("https://images.diginfra.net/iiif/NL-HaNA_1.01.02/3818/NL-HaNA_1.01.02_3818_0182.jpg/1211,1033,1113,2337/full/0/default.jpg", "iiif_url")</f>
        <v>iiif_url</v>
      </c>
      <c r="V255" t="s">
        <v>33</v>
      </c>
      <c r="W255" t="s">
        <v>1137</v>
      </c>
      <c r="X255" t="str">
        <f>HYPERLINK("https://images.diginfra.net/framed3.html?imagesetuuid=0a2b2b00-4d8f-4694-bcd4-866d49afa989&amp;uri=https://images.diginfra.net/iiif/NL-HaNA_1.01.02/3818/NL-HaNA_1.01.02_3818_0180.jpg", "prev_meeting_viewer_url")</f>
        <v>prev_meeting_viewer_url</v>
      </c>
      <c r="Y255" t="str">
        <f>HYPERLINK("https://images.diginfra.net/iiif/NL-HaNA_1.01.02/3818/NL-HaNA_1.01.02_3818_0180.jpg/2361,1410,1110,1956/full/0/default.jpg", "prev_meeting_iiif_url")</f>
        <v>prev_meeting_iiif_url</v>
      </c>
      <c r="Z255" t="s">
        <v>33</v>
      </c>
      <c r="AA255" t="s">
        <v>1138</v>
      </c>
      <c r="AB255" t="str">
        <f>HYPERLINK("https://images.diginfra.net/framed3.html?imagesetuuid=0a2b2b00-4d8f-4694-bcd4-866d49afa989&amp;uri=https://images.diginfra.net/iiif/NL-HaNA_1.01.02/3818/NL-HaNA_1.01.02_3818_0187.jpg", "next_meeting_viewer_url")</f>
        <v>next_meeting_viewer_url</v>
      </c>
      <c r="AC255" t="str">
        <f>HYPERLINK("https://images.diginfra.net/iiif/NL-HaNA_1.01.02/3818/NL-HaNA_1.01.02_3818_0187.jpg/253,521,1094,2895/full/0/default.jpg", "next_meeting_iiif_url")</f>
        <v>next_meeting_iiif_url</v>
      </c>
    </row>
    <row r="256" spans="1:29" x14ac:dyDescent="0.2">
      <c r="A256" t="s">
        <v>1139</v>
      </c>
      <c r="B256" t="s">
        <v>85</v>
      </c>
      <c r="D256" t="b">
        <v>1</v>
      </c>
      <c r="E256" t="b">
        <v>1</v>
      </c>
      <c r="F256">
        <v>1</v>
      </c>
      <c r="J256">
        <v>3809</v>
      </c>
      <c r="K256">
        <v>267</v>
      </c>
      <c r="L256">
        <v>2590</v>
      </c>
      <c r="M256">
        <v>2052</v>
      </c>
      <c r="N256">
        <f t="shared" si="5"/>
        <v>534</v>
      </c>
      <c r="O256">
        <v>533</v>
      </c>
      <c r="Q256">
        <v>0</v>
      </c>
      <c r="T256" t="str">
        <f>HYPERLINK("None", "viewer_url")</f>
        <v>viewer_url</v>
      </c>
      <c r="U256" t="str">
        <f>HYPERLINK("https://images.diginfra.net/iiif/NL-HaNA_1.01.02/3809/NL-HaNA_1.01.02_3809_0267.jpg/2590,2052,886,1242/full/0/default.jpg", "iiif_url")</f>
        <v>iiif_url</v>
      </c>
      <c r="V256" t="s">
        <v>44</v>
      </c>
      <c r="X256" t="str">
        <f>HYPERLINK("https://images.diginfra.net/framed3.html?imagesetuuid=a1722cc0-6172-4f06-b30b-cbaf0702bf4b&amp;uri=https://images.diginfra.net/iiif/NL-HaNA_1.01.02/3809/NL-HaNA_1.01.02_3809_0267.jpg", "prev_meeting_viewer_url")</f>
        <v>prev_meeting_viewer_url</v>
      </c>
      <c r="Y256" t="str">
        <f>HYPERLINK("https://images.diginfra.net/iiif/NL-HaNA_1.01.02/3809/NL-HaNA_1.01.02_3809_0267.jpg/2484,2026,1078,1358/full/0/default.jpg", "prev_meeting_iiif_url")</f>
        <v>prev_meeting_iiif_url</v>
      </c>
      <c r="Z256" t="s">
        <v>33</v>
      </c>
      <c r="AA256" t="s">
        <v>1140</v>
      </c>
      <c r="AB256" t="str">
        <f>HYPERLINK("https://images.diginfra.net/framed3.html?imagesetuuid=a1722cc0-6172-4f06-b30b-cbaf0702bf4b&amp;uri=https://images.diginfra.net/iiif/NL-HaNA_1.01.02/3809/NL-HaNA_1.01.02_3809_0269.jpg", "next_meeting_viewer_url")</f>
        <v>next_meeting_viewer_url</v>
      </c>
      <c r="AC256" t="str">
        <f>HYPERLINK("https://images.diginfra.net/iiif/NL-HaNA_1.01.02/3809/NL-HaNA_1.01.02_3809_0269.jpg/380,2297,1081,1050/full/0/default.jpg", "next_meeting_iiif_url")</f>
        <v>next_meeting_iiif_url</v>
      </c>
    </row>
    <row r="257" spans="1:29" x14ac:dyDescent="0.2">
      <c r="A257" t="s">
        <v>1141</v>
      </c>
      <c r="B257" t="s">
        <v>48</v>
      </c>
      <c r="C257" t="s">
        <v>1142</v>
      </c>
      <c r="D257" t="b">
        <v>1</v>
      </c>
      <c r="E257" t="b">
        <v>1</v>
      </c>
      <c r="F257">
        <v>1</v>
      </c>
      <c r="I257" t="s">
        <v>1143</v>
      </c>
      <c r="J257">
        <v>3815</v>
      </c>
      <c r="K257">
        <v>243</v>
      </c>
      <c r="L257">
        <v>1295</v>
      </c>
      <c r="M257">
        <v>547</v>
      </c>
      <c r="N257">
        <f t="shared" si="5"/>
        <v>486</v>
      </c>
      <c r="O257">
        <v>484</v>
      </c>
      <c r="P257">
        <v>1</v>
      </c>
      <c r="Q257">
        <v>0</v>
      </c>
      <c r="R257">
        <v>5</v>
      </c>
      <c r="S257" t="s">
        <v>33</v>
      </c>
      <c r="T257" t="str">
        <f>HYPERLINK("https://images.diginfra.net/framed3.html?imagesetuuid=c649f39d-5b94-4d9d-8000-33acd4342c36&amp;uri=https://images.diginfra.net/iiif/NL-HaNA_1.01.02/3815/NL-HaNA_1.01.02_3815_0243.jpg", "viewer_url")</f>
        <v>viewer_url</v>
      </c>
      <c r="U257" t="str">
        <f>HYPERLINK("https://images.diginfra.net/iiif/NL-HaNA_1.01.02/3815/NL-HaNA_1.01.02_3815_0243.jpg/1295,547,1109,2877/full/0/default.jpg", "iiif_url")</f>
        <v>iiif_url</v>
      </c>
      <c r="V257" t="s">
        <v>33</v>
      </c>
      <c r="W257" t="s">
        <v>1144</v>
      </c>
      <c r="X257" t="str">
        <f>HYPERLINK("https://images.diginfra.net/framed3.html?imagesetuuid=c649f39d-5b94-4d9d-8000-33acd4342c36&amp;uri=https://images.diginfra.net/iiif/NL-HaNA_1.01.02/3815/NL-HaNA_1.01.02_3815_0241.jpg", "prev_meeting_viewer_url")</f>
        <v>prev_meeting_viewer_url</v>
      </c>
      <c r="Y257" t="str">
        <f>HYPERLINK("https://images.diginfra.net/iiif/NL-HaNA_1.01.02/3815/NL-HaNA_1.01.02_3815_0241.jpg/1453,2992,698,387/full/0/default.jpg", "prev_meeting_iiif_url")</f>
        <v>prev_meeting_iiif_url</v>
      </c>
      <c r="Z257" t="s">
        <v>33</v>
      </c>
      <c r="AA257" t="s">
        <v>1145</v>
      </c>
      <c r="AB257" t="str">
        <f>HYPERLINK("https://images.diginfra.net/framed3.html?imagesetuuid=c649f39d-5b94-4d9d-8000-33acd4342c36&amp;uri=https://images.diginfra.net/iiif/NL-HaNA_1.01.02/3815/NL-HaNA_1.01.02_3815_0247.jpg", "next_meeting_viewer_url")</f>
        <v>next_meeting_viewer_url</v>
      </c>
      <c r="AC257" t="str">
        <f>HYPERLINK("https://images.diginfra.net/iiif/NL-HaNA_1.01.02/3815/NL-HaNA_1.01.02_3815_0247.jpg/3284,891,1106,2538/full/0/default.jpg", "next_meeting_iiif_url")</f>
        <v>next_meeting_iiif_url</v>
      </c>
    </row>
    <row r="258" spans="1:29" x14ac:dyDescent="0.2">
      <c r="A258" t="s">
        <v>1146</v>
      </c>
      <c r="B258" t="s">
        <v>30</v>
      </c>
      <c r="C258" t="s">
        <v>1147</v>
      </c>
      <c r="D258" t="b">
        <v>1</v>
      </c>
      <c r="E258" t="b">
        <v>1</v>
      </c>
      <c r="F258">
        <v>1</v>
      </c>
      <c r="I258" t="s">
        <v>1148</v>
      </c>
      <c r="J258">
        <v>3848</v>
      </c>
      <c r="K258">
        <v>326</v>
      </c>
      <c r="L258">
        <v>1177</v>
      </c>
      <c r="M258">
        <v>886</v>
      </c>
      <c r="N258">
        <f t="shared" ref="N258:N321" si="6">K258*2</f>
        <v>652</v>
      </c>
      <c r="O258">
        <v>650</v>
      </c>
      <c r="P258">
        <v>1</v>
      </c>
      <c r="Q258">
        <v>1</v>
      </c>
      <c r="R258">
        <v>0</v>
      </c>
      <c r="S258" t="s">
        <v>33</v>
      </c>
      <c r="T258" t="str">
        <f>HYPERLINK("https://images.diginfra.net/framed3.html?imagesetuuid=0359a1ea-7930-4de5-8687-7aa11d9043bd&amp;uri=https://images.diginfra.net/iiif/NL-HaNA_1.01.02/3848/NL-HaNA_1.01.02_3848_0326.jpg", "viewer_url")</f>
        <v>viewer_url</v>
      </c>
      <c r="U258" t="str">
        <f>HYPERLINK("https://images.diginfra.net/iiif/NL-HaNA_1.01.02/3848/NL-HaNA_1.01.02_3848_0326.jpg/1177,886,1094,2541/full/0/default.jpg", "iiif_url")</f>
        <v>iiif_url</v>
      </c>
      <c r="V258" t="s">
        <v>33</v>
      </c>
      <c r="W258" t="s">
        <v>1149</v>
      </c>
      <c r="X258" t="str">
        <f>HYPERLINK("https://images.diginfra.net/framed3.html?imagesetuuid=0359a1ea-7930-4de5-8687-7aa11d9043bd&amp;uri=https://images.diginfra.net/iiif/NL-HaNA_1.01.02/3848/NL-HaNA_1.01.02_3848_0321.jpg", "prev_meeting_viewer_url")</f>
        <v>prev_meeting_viewer_url</v>
      </c>
      <c r="Y258" t="str">
        <f>HYPERLINK("https://images.diginfra.net/iiif/NL-HaNA_1.01.02/3848/NL-HaNA_1.01.02_3848_0321.jpg/2454,3066,707,316/full/0/default.jpg", "prev_meeting_iiif_url")</f>
        <v>prev_meeting_iiif_url</v>
      </c>
      <c r="Z258" t="s">
        <v>33</v>
      </c>
      <c r="AA258" t="s">
        <v>1150</v>
      </c>
      <c r="AB258" t="str">
        <f>HYPERLINK("https://images.diginfra.net/framed3.html?imagesetuuid=0359a1ea-7930-4de5-8687-7aa11d9043bd&amp;uri=https://images.diginfra.net/iiif/NL-HaNA_1.01.02/3848/NL-HaNA_1.01.02_3848_0331.jpg", "next_meeting_viewer_url")</f>
        <v>next_meeting_viewer_url</v>
      </c>
      <c r="AC258" t="str">
        <f>HYPERLINK("https://images.diginfra.net/iiif/NL-HaNA_1.01.02/3848/NL-HaNA_1.01.02_3848_0331.jpg/246,2899,913,398/full/0/default.jpg", "next_meeting_iiif_url")</f>
        <v>next_meeting_iiif_url</v>
      </c>
    </row>
    <row r="259" spans="1:29" x14ac:dyDescent="0.2">
      <c r="A259" t="s">
        <v>1151</v>
      </c>
      <c r="B259" t="s">
        <v>30</v>
      </c>
      <c r="C259" t="s">
        <v>1152</v>
      </c>
      <c r="D259" t="b">
        <v>1</v>
      </c>
      <c r="E259" t="b">
        <v>1</v>
      </c>
      <c r="F259">
        <v>1</v>
      </c>
      <c r="I259" t="s">
        <v>1153</v>
      </c>
      <c r="J259">
        <v>3822</v>
      </c>
      <c r="K259">
        <v>347</v>
      </c>
      <c r="L259">
        <v>3274</v>
      </c>
      <c r="M259">
        <v>1432</v>
      </c>
      <c r="N259">
        <f t="shared" si="6"/>
        <v>694</v>
      </c>
      <c r="O259">
        <v>693</v>
      </c>
      <c r="P259">
        <v>1</v>
      </c>
      <c r="Q259">
        <v>1</v>
      </c>
      <c r="R259">
        <v>0</v>
      </c>
      <c r="S259" t="s">
        <v>33</v>
      </c>
      <c r="T259" t="str">
        <f>HYPERLINK("https://images.diginfra.net/framed3.html?imagesetuuid=e0965315-891d-46c1-9dac-fc6b729921cf&amp;uri=https://images.diginfra.net/iiif/NL-HaNA_1.01.02/3822/NL-HaNA_1.01.02_3822_0347.jpg", "viewer_url")</f>
        <v>viewer_url</v>
      </c>
      <c r="U259" t="str">
        <f>HYPERLINK("https://images.diginfra.net/iiif/NL-HaNA_1.01.02/3822/NL-HaNA_1.01.02_3822_0347.jpg/3274,1432,1068,1915/full/0/default.jpg", "iiif_url")</f>
        <v>iiif_url</v>
      </c>
      <c r="V259" t="s">
        <v>33</v>
      </c>
      <c r="W259" t="s">
        <v>1154</v>
      </c>
      <c r="X259" t="str">
        <f>HYPERLINK("https://images.diginfra.net/framed3.html?imagesetuuid=e0965315-891d-46c1-9dac-fc6b729921cf&amp;uri=https://images.diginfra.net/iiif/NL-HaNA_1.01.02/3822/NL-HaNA_1.01.02_3822_0347.jpg", "prev_meeting_viewer_url")</f>
        <v>prev_meeting_viewer_url</v>
      </c>
      <c r="Y259" t="str">
        <f>HYPERLINK("https://images.diginfra.net/iiif/NL-HaNA_1.01.02/3822/NL-HaNA_1.01.02_3822_0347.jpg/1351,2848,852,485/full/0/default.jpg", "prev_meeting_iiif_url")</f>
        <v>prev_meeting_iiif_url</v>
      </c>
      <c r="Z259" t="s">
        <v>44</v>
      </c>
      <c r="AA259" t="s">
        <v>1155</v>
      </c>
      <c r="AB259" t="str">
        <f>HYPERLINK("https://images.diginfra.net/framed3.html?imagesetuuid=e0965315-891d-46c1-9dac-fc6b729921cf&amp;uri=https://images.diginfra.net/iiif/NL-HaNA_1.01.02/3822/NL-HaNA_1.01.02_3822_0350.jpg", "next_meeting_viewer_url")</f>
        <v>next_meeting_viewer_url</v>
      </c>
      <c r="AC259" t="str">
        <f>HYPERLINK("https://images.diginfra.net/iiif/NL-HaNA_1.01.02/3822/NL-HaNA_1.01.02_3822_0350.jpg/3308,2578,1015,796/full/0/default.jpg", "next_meeting_iiif_url")</f>
        <v>next_meeting_iiif_url</v>
      </c>
    </row>
    <row r="260" spans="1:29" x14ac:dyDescent="0.2">
      <c r="A260" t="s">
        <v>1156</v>
      </c>
      <c r="B260" t="s">
        <v>30</v>
      </c>
      <c r="C260" t="s">
        <v>1157</v>
      </c>
      <c r="D260" t="b">
        <v>1</v>
      </c>
      <c r="E260" t="b">
        <v>1</v>
      </c>
      <c r="F260">
        <v>1</v>
      </c>
      <c r="I260" t="s">
        <v>1158</v>
      </c>
      <c r="J260">
        <v>3782</v>
      </c>
      <c r="K260">
        <v>425</v>
      </c>
      <c r="L260">
        <v>2512</v>
      </c>
      <c r="M260">
        <v>1129</v>
      </c>
      <c r="N260">
        <f t="shared" si="6"/>
        <v>850</v>
      </c>
      <c r="O260">
        <v>849</v>
      </c>
      <c r="P260">
        <v>0</v>
      </c>
      <c r="Q260">
        <v>1</v>
      </c>
      <c r="R260">
        <v>0</v>
      </c>
      <c r="S260" t="s">
        <v>33</v>
      </c>
      <c r="T260" t="str">
        <f>HYPERLINK("https://images.diginfra.net/framed3.html?imagesetuuid=6d3687da-fdc8-4a47-ac98-f85d45f74cb7&amp;uri=https://images.diginfra.net/iiif/NL-HaNA_1.01.02/3782/NL-HaNA_1.01.02_3782_0425.jpg", "viewer_url")</f>
        <v>viewer_url</v>
      </c>
      <c r="U260" t="str">
        <f>HYPERLINK("https://images.diginfra.net/iiif/NL-HaNA_1.01.02/3782/NL-HaNA_1.01.02_3782_0425.jpg/2512,1129,1093,2336/full/0/default.jpg", "iiif_url")</f>
        <v>iiif_url</v>
      </c>
      <c r="V260" t="s">
        <v>33</v>
      </c>
      <c r="W260" t="s">
        <v>1159</v>
      </c>
      <c r="X260" t="str">
        <f>HYPERLINK("https://images.diginfra.net/framed3.html?imagesetuuid=6d3687da-fdc8-4a47-ac98-f85d45f74cb7&amp;uri=https://images.diginfra.net/iiif/NL-HaNA_1.01.02/3782/NL-HaNA_1.01.02_3782_0423.jpg", "prev_meeting_viewer_url")</f>
        <v>prev_meeting_viewer_url</v>
      </c>
      <c r="Y260" t="str">
        <f>HYPERLINK("https://images.diginfra.net/iiif/NL-HaNA_1.01.02/3782/NL-HaNA_1.01.02_3782_0423.jpg/1260,552,1110,2921/full/0/default.jpg", "prev_meeting_iiif_url")</f>
        <v>prev_meeting_iiif_url</v>
      </c>
      <c r="Z260" t="s">
        <v>33</v>
      </c>
      <c r="AA260" t="s">
        <v>1160</v>
      </c>
      <c r="AB260" t="str">
        <f>HYPERLINK("https://images.diginfra.net/framed3.html?imagesetuuid=6d3687da-fdc8-4a47-ac98-f85d45f74cb7&amp;uri=https://images.diginfra.net/iiif/NL-HaNA_1.01.02/3782/NL-HaNA_1.01.02_3782_0426.jpg", "next_meeting_viewer_url")</f>
        <v>next_meeting_viewer_url</v>
      </c>
      <c r="AC260" t="str">
        <f>HYPERLINK("https://images.diginfra.net/iiif/NL-HaNA_1.01.02/3782/NL-HaNA_1.01.02_3782_0426.jpg/3405,1300,1105,2137/full/0/default.jpg", "next_meeting_iiif_url")</f>
        <v>next_meeting_iiif_url</v>
      </c>
    </row>
    <row r="261" spans="1:29" x14ac:dyDescent="0.2">
      <c r="A261" t="s">
        <v>1161</v>
      </c>
      <c r="B261" t="s">
        <v>37</v>
      </c>
      <c r="C261" t="s">
        <v>1162</v>
      </c>
      <c r="D261" t="b">
        <v>1</v>
      </c>
      <c r="E261" t="b">
        <v>1</v>
      </c>
      <c r="F261">
        <v>1</v>
      </c>
      <c r="I261" t="s">
        <v>1163</v>
      </c>
      <c r="J261">
        <v>3785</v>
      </c>
      <c r="K261">
        <v>407</v>
      </c>
      <c r="L261">
        <v>3358</v>
      </c>
      <c r="M261">
        <v>1412</v>
      </c>
      <c r="N261">
        <f t="shared" si="6"/>
        <v>814</v>
      </c>
      <c r="O261">
        <v>813</v>
      </c>
      <c r="P261">
        <v>1</v>
      </c>
      <c r="Q261">
        <v>1</v>
      </c>
      <c r="R261">
        <v>0</v>
      </c>
      <c r="S261" t="s">
        <v>33</v>
      </c>
      <c r="T261" t="str">
        <f>HYPERLINK("https://images.diginfra.net/framed3.html?imagesetuuid=88a314f7-936a-49fb-9ac3-0115764531f2&amp;uri=https://images.diginfra.net/iiif/NL-HaNA_1.01.02/3785/NL-HaNA_1.01.02_3785_0407.jpg", "viewer_url")</f>
        <v>viewer_url</v>
      </c>
      <c r="U261" t="str">
        <f>HYPERLINK("https://images.diginfra.net/iiif/NL-HaNA_1.01.02/3785/NL-HaNA_1.01.02_3785_0407.jpg/3358,1412,1089,2004/full/0/default.jpg", "iiif_url")</f>
        <v>iiif_url</v>
      </c>
      <c r="V261" t="s">
        <v>33</v>
      </c>
      <c r="W261" t="s">
        <v>1164</v>
      </c>
      <c r="X261" t="str">
        <f>HYPERLINK("https://images.diginfra.net/framed3.html?imagesetuuid=88a314f7-936a-49fb-9ac3-0115764531f2&amp;uri=https://images.diginfra.net/iiif/NL-HaNA_1.01.02/3785/NL-HaNA_1.01.02_3785_0406.jpg", "prev_meeting_viewer_url")</f>
        <v>prev_meeting_viewer_url</v>
      </c>
      <c r="Y261" t="str">
        <f>HYPERLINK("https://images.diginfra.net/iiif/NL-HaNA_1.01.02/3785/NL-HaNA_1.01.02_3785_0406.jpg/3420,2711,1039,755/full/0/default.jpg", "prev_meeting_iiif_url")</f>
        <v>prev_meeting_iiif_url</v>
      </c>
      <c r="Z261" t="s">
        <v>33</v>
      </c>
      <c r="AA261" t="s">
        <v>1165</v>
      </c>
      <c r="AB261" t="str">
        <f>HYPERLINK("https://images.diginfra.net/framed3.html?imagesetuuid=88a314f7-936a-49fb-9ac3-0115764531f2&amp;uri=https://images.diginfra.net/iiif/NL-HaNA_1.01.02/3785/NL-HaNA_1.01.02_3785_0408.jpg", "next_meeting_viewer_url")</f>
        <v>next_meeting_viewer_url</v>
      </c>
      <c r="AC261" t="str">
        <f>HYPERLINK("https://images.diginfra.net/iiif/NL-HaNA_1.01.02/3785/NL-HaNA_1.01.02_3785_0408.jpg/2494,2606,1032,793/full/0/default.jpg", "next_meeting_iiif_url")</f>
        <v>next_meeting_iiif_url</v>
      </c>
    </row>
    <row r="262" spans="1:29" x14ac:dyDescent="0.2">
      <c r="A262" t="s">
        <v>1166</v>
      </c>
      <c r="B262" t="s">
        <v>37</v>
      </c>
      <c r="C262" t="s">
        <v>1167</v>
      </c>
      <c r="D262" t="b">
        <v>1</v>
      </c>
      <c r="E262" t="b">
        <v>1</v>
      </c>
      <c r="F262">
        <v>1</v>
      </c>
      <c r="I262" t="s">
        <v>1168</v>
      </c>
      <c r="J262">
        <v>3773</v>
      </c>
      <c r="K262">
        <v>602</v>
      </c>
      <c r="L262">
        <v>2501</v>
      </c>
      <c r="M262">
        <v>1565</v>
      </c>
      <c r="N262">
        <f t="shared" si="6"/>
        <v>1204</v>
      </c>
      <c r="O262">
        <v>1203</v>
      </c>
      <c r="P262">
        <v>0</v>
      </c>
      <c r="Q262">
        <v>1</v>
      </c>
      <c r="R262">
        <v>0</v>
      </c>
      <c r="S262" t="s">
        <v>33</v>
      </c>
      <c r="T262" t="str">
        <f>HYPERLINK("https://images.diginfra.net/framed3.html?imagesetuuid=0d0ede5e-a7f6-4a03-b996-493e50528c24&amp;uri=https://images.diginfra.net/iiif/NL-HaNA_1.01.02/3773/NL-HaNA_1.01.02_3773_0602.jpg", "viewer_url")</f>
        <v>viewer_url</v>
      </c>
      <c r="U262" t="str">
        <f>HYPERLINK("https://images.diginfra.net/iiif/NL-HaNA_1.01.02/3773/NL-HaNA_1.01.02_3773_0602.jpg/2501,1565,1093,1860/full/0/default.jpg", "iiif_url")</f>
        <v>iiif_url</v>
      </c>
      <c r="V262" t="s">
        <v>33</v>
      </c>
      <c r="W262" t="s">
        <v>1169</v>
      </c>
      <c r="X262" t="str">
        <f>HYPERLINK("https://images.diginfra.net/framed3.html?imagesetuuid=0d0ede5e-a7f6-4a03-b996-493e50528c24&amp;uri=https://images.diginfra.net/iiif/NL-HaNA_1.01.02/3773/NL-HaNA_1.01.02_3773_0600.jpg", "prev_meeting_viewer_url")</f>
        <v>prev_meeting_viewer_url</v>
      </c>
      <c r="Y262" t="str">
        <f>HYPERLINK("https://images.diginfra.net/iiif/NL-HaNA_1.01.02/3773/NL-HaNA_1.01.02_3773_0600.jpg/2492,2224,1021,1196/full/0/default.jpg", "prev_meeting_iiif_url")</f>
        <v>prev_meeting_iiif_url</v>
      </c>
    </row>
    <row r="263" spans="1:29" x14ac:dyDescent="0.2">
      <c r="A263" t="s">
        <v>1170</v>
      </c>
      <c r="B263" t="s">
        <v>79</v>
      </c>
      <c r="C263" t="s">
        <v>1171</v>
      </c>
      <c r="D263" t="b">
        <v>1</v>
      </c>
      <c r="E263" t="b">
        <v>1</v>
      </c>
      <c r="F263">
        <v>1</v>
      </c>
      <c r="I263" t="s">
        <v>1172</v>
      </c>
      <c r="J263">
        <v>3766</v>
      </c>
      <c r="K263">
        <v>796</v>
      </c>
      <c r="L263">
        <v>1268</v>
      </c>
      <c r="M263">
        <v>865</v>
      </c>
      <c r="N263">
        <f t="shared" si="6"/>
        <v>1592</v>
      </c>
      <c r="O263">
        <v>1590</v>
      </c>
      <c r="P263">
        <v>2</v>
      </c>
      <c r="Q263">
        <v>2</v>
      </c>
      <c r="R263">
        <v>0</v>
      </c>
      <c r="S263" t="s">
        <v>33</v>
      </c>
      <c r="T263" t="str">
        <f>HYPERLINK("https://images.diginfra.net/framed3.html?imagesetuuid=a6b973ba-587c-4902-9423-42544f6e97a0&amp;uri=https://images.diginfra.net/iiif/NL-HaNA_1.01.02/3766/NL-HaNA_1.01.02_3766_0796.jpg", "viewer_url")</f>
        <v>viewer_url</v>
      </c>
      <c r="U263" t="str">
        <f>HYPERLINK("https://images.diginfra.net/iiif/NL-HaNA_1.01.02/3766/NL-HaNA_1.01.02_3766_0796.jpg/1268,865,1110,2542/full/0/default.jpg", "iiif_url")</f>
        <v>iiif_url</v>
      </c>
      <c r="V263" t="s">
        <v>33</v>
      </c>
      <c r="W263" t="s">
        <v>1173</v>
      </c>
      <c r="X263" t="str">
        <f>HYPERLINK("https://images.diginfra.net/framed3.html?imagesetuuid=a6b973ba-587c-4902-9423-42544f6e97a0&amp;uri=https://images.diginfra.net/iiif/NL-HaNA_1.01.02/3766/NL-HaNA_1.01.02_3766_0791.jpg", "prev_meeting_viewer_url")</f>
        <v>prev_meeting_viewer_url</v>
      </c>
      <c r="Y263" t="str">
        <f>HYPERLINK("https://images.diginfra.net/iiif/NL-HaNA_1.01.02/3766/NL-HaNA_1.01.02_3766_0791.jpg/3408,1312,1106,2157/full/0/default.jpg", "prev_meeting_iiif_url")</f>
        <v>prev_meeting_iiif_url</v>
      </c>
      <c r="Z263" t="s">
        <v>33</v>
      </c>
      <c r="AA263" t="s">
        <v>1174</v>
      </c>
      <c r="AB263" t="str">
        <f>HYPERLINK("https://images.diginfra.net/framed3.html?imagesetuuid=a6b973ba-587c-4902-9423-42544f6e97a0&amp;uri=https://images.diginfra.net/iiif/NL-HaNA_1.01.02/3766/NL-HaNA_1.01.02_3766_0798.jpg", "next_meeting_viewer_url")</f>
        <v>next_meeting_viewer_url</v>
      </c>
      <c r="AC263" t="str">
        <f>HYPERLINK("https://images.diginfra.net/iiif/NL-HaNA_1.01.02/3766/NL-HaNA_1.01.02_3766_0798.jpg/3492,3075,886,463/full/0/default.jpg", "next_meeting_iiif_url")</f>
        <v>next_meeting_iiif_url</v>
      </c>
    </row>
    <row r="264" spans="1:29" x14ac:dyDescent="0.2">
      <c r="A264" t="s">
        <v>1175</v>
      </c>
      <c r="B264" t="s">
        <v>79</v>
      </c>
      <c r="D264" t="b">
        <v>1</v>
      </c>
      <c r="E264" t="b">
        <v>1</v>
      </c>
      <c r="F264">
        <v>1</v>
      </c>
      <c r="J264">
        <v>3760</v>
      </c>
      <c r="K264">
        <v>384</v>
      </c>
      <c r="L264">
        <v>1401</v>
      </c>
      <c r="M264">
        <v>386</v>
      </c>
      <c r="N264">
        <f t="shared" si="6"/>
        <v>768</v>
      </c>
      <c r="O264">
        <v>766</v>
      </c>
      <c r="P264">
        <v>1</v>
      </c>
      <c r="T264" t="str">
        <f>HYPERLINK("None", "viewer_url")</f>
        <v>viewer_url</v>
      </c>
      <c r="U264" t="str">
        <f>HYPERLINK("https://images.diginfra.net/iiif/NL-HaNA_1.01.02/3760/NL-HaNA_1.01.02_3760_0384.jpg/1401,386,895,2926/full/0/default.jpg", "iiif_url")</f>
        <v>iiif_url</v>
      </c>
      <c r="V264" t="s">
        <v>44</v>
      </c>
      <c r="X264" t="str">
        <f>HYPERLINK("https://images.diginfra.net/framed3.html?imagesetuuid=dc1aea1e-5e7b-4d50-b913-c0d5902dbd85&amp;uri=https://images.diginfra.net/iiif/NL-HaNA_1.01.02/3760/NL-HaNA_1.01.02_3760_0384.jpg", "prev_meeting_viewer_url")</f>
        <v>prev_meeting_viewer_url</v>
      </c>
      <c r="Y264" t="str">
        <f>HYPERLINK("https://images.diginfra.net/iiif/NL-HaNA_1.01.02/3760/NL-HaNA_1.01.02_3760_0384.jpg/1316,334,1076,3051/full/0/default.jpg", "prev_meeting_iiif_url")</f>
        <v>prev_meeting_iiif_url</v>
      </c>
      <c r="Z264" t="s">
        <v>33</v>
      </c>
      <c r="AA264" t="s">
        <v>1176</v>
      </c>
      <c r="AB264" t="str">
        <f>HYPERLINK("https://images.diginfra.net/framed3.html?imagesetuuid=dc1aea1e-5e7b-4d50-b913-c0d5902dbd85&amp;uri=https://images.diginfra.net/iiif/NL-HaNA_1.01.02/3760/NL-HaNA_1.01.02_3760_0385.jpg", "next_meeting_viewer_url")</f>
        <v>next_meeting_viewer_url</v>
      </c>
      <c r="AC264" t="str">
        <f>HYPERLINK("https://images.diginfra.net/iiif/NL-HaNA_1.01.02/3760/NL-HaNA_1.01.02_3760_0385.jpg/1300,1553,1080,1846/full/0/default.jpg", "next_meeting_iiif_url")</f>
        <v>next_meeting_iiif_url</v>
      </c>
    </row>
    <row r="265" spans="1:29" x14ac:dyDescent="0.2">
      <c r="A265" t="s">
        <v>1177</v>
      </c>
      <c r="B265" t="s">
        <v>59</v>
      </c>
      <c r="D265" t="b">
        <v>0</v>
      </c>
      <c r="E265" t="b">
        <v>0</v>
      </c>
      <c r="F265">
        <v>1</v>
      </c>
      <c r="G265">
        <v>1</v>
      </c>
      <c r="I265" t="s">
        <v>1178</v>
      </c>
      <c r="J265">
        <v>3853</v>
      </c>
      <c r="K265">
        <v>114</v>
      </c>
      <c r="N265">
        <f t="shared" si="6"/>
        <v>228</v>
      </c>
      <c r="O265">
        <v>226</v>
      </c>
      <c r="P265">
        <v>0</v>
      </c>
      <c r="Q265">
        <v>2</v>
      </c>
      <c r="R265">
        <v>0</v>
      </c>
      <c r="S265" t="s">
        <v>33</v>
      </c>
      <c r="T265" t="str">
        <f>HYPERLINK("https://images.diginfra.net/framed3.html?imagesetuuid=70af21ed-3dea-44e0-a125-396f50f1c89e&amp;uri=https://images.diginfra.net/iiif/NL-HaNA_1.01.02/3853/NL-HaNA_1.01.02_3853_0114.jpg", "viewer_url")</f>
        <v>viewer_url</v>
      </c>
      <c r="U265" t="str">
        <f>HYPERLINK("https://images.diginfra.net/iiif/NL-HaNA_1.01.02/3853/NL-HaNA_1.01.02_3853_0114.jpg/314,1085,1082,2359/full/0/default.jpg", "iiif_url")</f>
        <v>iiif_url</v>
      </c>
      <c r="V265" t="s">
        <v>33</v>
      </c>
      <c r="W265" t="s">
        <v>1179</v>
      </c>
      <c r="X265" t="str">
        <f>HYPERLINK("https://images.diginfra.net/framed3.html?imagesetuuid=70af21ed-3dea-44e0-a125-396f50f1c89e&amp;uri=https://images.diginfra.net/iiif/NL-HaNA_1.01.02/3853/NL-HaNA_1.01.02_3853_0112.jpg", "prev_meeting_viewer_url")</f>
        <v>prev_meeting_viewer_url</v>
      </c>
      <c r="Y265" t="str">
        <f>HYPERLINK("https://images.diginfra.net/iiif/NL-HaNA_1.01.02/3853/NL-HaNA_1.01.02_3853_0112.jpg/1261,1617,1080,1827/full/0/default.jpg", "prev_meeting_iiif_url")</f>
        <v>prev_meeting_iiif_url</v>
      </c>
      <c r="Z265" t="s">
        <v>33</v>
      </c>
      <c r="AA265" t="s">
        <v>1180</v>
      </c>
      <c r="AB265" t="str">
        <f>HYPERLINK("https://images.diginfra.net/framed3.html?imagesetuuid=70af21ed-3dea-44e0-a125-396f50f1c89e&amp;uri=https://images.diginfra.net/iiif/NL-HaNA_1.01.02/3853/NL-HaNA_1.01.02_3853_0114.jpg", "next_meeting_viewer_url")</f>
        <v>next_meeting_viewer_url</v>
      </c>
      <c r="AC265" t="str">
        <f>HYPERLINK("https://images.diginfra.net/iiif/NL-HaNA_1.01.02/3853/NL-HaNA_1.01.02_3853_0114.jpg/314,1085,1082,2359/full/0/default.jpg", "next_meeting_iiif_url")</f>
        <v>next_meeting_iiif_url</v>
      </c>
    </row>
    <row r="266" spans="1:29" x14ac:dyDescent="0.2">
      <c r="A266" t="s">
        <v>1181</v>
      </c>
      <c r="B266" t="s">
        <v>48</v>
      </c>
      <c r="C266" t="s">
        <v>1182</v>
      </c>
      <c r="D266" t="b">
        <v>1</v>
      </c>
      <c r="E266" t="b">
        <v>1</v>
      </c>
      <c r="F266">
        <v>1</v>
      </c>
      <c r="I266" t="s">
        <v>1183</v>
      </c>
      <c r="J266">
        <v>3817</v>
      </c>
      <c r="K266">
        <v>433</v>
      </c>
      <c r="L266">
        <v>2314</v>
      </c>
      <c r="M266">
        <v>2020</v>
      </c>
      <c r="N266">
        <f t="shared" si="6"/>
        <v>866</v>
      </c>
      <c r="O266">
        <v>865</v>
      </c>
      <c r="P266">
        <v>0</v>
      </c>
      <c r="Q266">
        <v>0</v>
      </c>
      <c r="R266">
        <v>47</v>
      </c>
      <c r="S266" t="s">
        <v>44</v>
      </c>
      <c r="T266" t="str">
        <f>HYPERLINK("https://images.diginfra.net/framed3.html?imagesetuuid=c13c7ed6-75ba-4433-9b44-0db683995fb3&amp;uri=https://images.diginfra.net/iiif/NL-HaNA_1.01.02/3817/NL-HaNA_1.01.02_3817_0433.jpg", "viewer_url")</f>
        <v>viewer_url</v>
      </c>
      <c r="U266" t="str">
        <f>HYPERLINK("https://images.diginfra.net/iiif/NL-HaNA_1.01.02/3817/NL-HaNA_1.01.02_3817_0433.jpg/2314,2020,1106,1404/full/0/default.jpg", "iiif_url")</f>
        <v>iiif_url</v>
      </c>
      <c r="V266" t="s">
        <v>33</v>
      </c>
      <c r="W266" t="s">
        <v>596</v>
      </c>
      <c r="X266" t="str">
        <f>HYPERLINK("https://images.diginfra.net/framed3.html?imagesetuuid=c13c7ed6-75ba-4433-9b44-0db683995fb3&amp;uri=https://images.diginfra.net/iiif/NL-HaNA_1.01.02/3817/NL-HaNA_1.01.02_3817_0432.jpg", "prev_meeting_viewer_url")</f>
        <v>prev_meeting_viewer_url</v>
      </c>
      <c r="Y266" t="str">
        <f>HYPERLINK("https://images.diginfra.net/iiif/NL-HaNA_1.01.02/3817/NL-HaNA_1.01.02_3817_0432.jpg/2333,1713,1107,1663/full/0/default.jpg", "prev_meeting_iiif_url")</f>
        <v>prev_meeting_iiif_url</v>
      </c>
    </row>
    <row r="267" spans="1:29" x14ac:dyDescent="0.2">
      <c r="A267" t="s">
        <v>1184</v>
      </c>
      <c r="B267" t="s">
        <v>59</v>
      </c>
      <c r="D267" t="b">
        <v>0</v>
      </c>
      <c r="E267" t="b">
        <v>0</v>
      </c>
      <c r="F267">
        <v>1</v>
      </c>
      <c r="G267">
        <v>1</v>
      </c>
      <c r="I267" t="s">
        <v>1185</v>
      </c>
      <c r="J267">
        <v>3813</v>
      </c>
      <c r="K267">
        <v>229</v>
      </c>
      <c r="N267">
        <f t="shared" si="6"/>
        <v>458</v>
      </c>
      <c r="O267">
        <v>456</v>
      </c>
      <c r="P267">
        <v>0</v>
      </c>
      <c r="Q267">
        <v>1</v>
      </c>
      <c r="R267">
        <v>10</v>
      </c>
      <c r="S267" t="s">
        <v>44</v>
      </c>
      <c r="T267" t="str">
        <f>HYPERLINK("https://images.diginfra.net/framed3.html?imagesetuuid=19a3f39b-117a-4ab7-b45b-5e134b099649&amp;uri=https://images.diginfra.net/iiif/NL-HaNA_1.01.02/3813/NL-HaNA_1.01.02_3813_0229.jpg", "viewer_url")</f>
        <v>viewer_url</v>
      </c>
      <c r="U267" t="str">
        <f>HYPERLINK("https://images.diginfra.net/iiif/NL-HaNA_1.01.02/3813/NL-HaNA_1.01.02_3813_0229.jpg/388,1432,1041,1933/full/0/default.jpg", "iiif_url")</f>
        <v>iiif_url</v>
      </c>
      <c r="V267" t="s">
        <v>33</v>
      </c>
      <c r="W267" t="s">
        <v>1186</v>
      </c>
      <c r="X267" t="str">
        <f>HYPERLINK("https://images.diginfra.net/framed3.html?imagesetuuid=19a3f39b-117a-4ab7-b45b-5e134b099649&amp;uri=https://images.diginfra.net/iiif/NL-HaNA_1.01.02/3813/NL-HaNA_1.01.02_3813_0226.jpg", "prev_meeting_viewer_url")</f>
        <v>prev_meeting_viewer_url</v>
      </c>
      <c r="Y267" t="str">
        <f>HYPERLINK("https://images.diginfra.net/iiif/NL-HaNA_1.01.02/3813/NL-HaNA_1.01.02_3813_0226.jpg/3388,256,1114,3078/full/0/default.jpg", "prev_meeting_iiif_url")</f>
        <v>prev_meeting_iiif_url</v>
      </c>
      <c r="Z267" t="s">
        <v>44</v>
      </c>
      <c r="AA267" t="s">
        <v>1187</v>
      </c>
      <c r="AB267" t="str">
        <f>HYPERLINK("https://images.diginfra.net/framed3.html?imagesetuuid=19a3f39b-117a-4ab7-b45b-5e134b099649&amp;uri=https://images.diginfra.net/iiif/NL-HaNA_1.01.02/3813/NL-HaNA_1.01.02_3813_0229.jpg", "next_meeting_viewer_url")</f>
        <v>next_meeting_viewer_url</v>
      </c>
      <c r="AC267" t="str">
        <f>HYPERLINK("https://images.diginfra.net/iiif/NL-HaNA_1.01.02/3813/NL-HaNA_1.01.02_3813_0229.jpg/388,1432,1041,1933/full/0/default.jpg", "next_meeting_iiif_url")</f>
        <v>next_meeting_iiif_url</v>
      </c>
    </row>
    <row r="268" spans="1:29" x14ac:dyDescent="0.2">
      <c r="A268" t="s">
        <v>1188</v>
      </c>
      <c r="B268" t="s">
        <v>30</v>
      </c>
      <c r="C268" t="s">
        <v>1189</v>
      </c>
      <c r="D268" t="b">
        <v>1</v>
      </c>
      <c r="E268" t="b">
        <v>1</v>
      </c>
      <c r="F268">
        <v>1</v>
      </c>
      <c r="I268" t="s">
        <v>1190</v>
      </c>
      <c r="J268">
        <v>3800</v>
      </c>
      <c r="K268">
        <v>395</v>
      </c>
      <c r="L268">
        <v>287</v>
      </c>
      <c r="M268">
        <v>481</v>
      </c>
      <c r="N268">
        <f t="shared" si="6"/>
        <v>790</v>
      </c>
      <c r="O268">
        <v>788</v>
      </c>
      <c r="P268">
        <v>0</v>
      </c>
      <c r="Q268">
        <v>1</v>
      </c>
      <c r="R268">
        <v>0</v>
      </c>
      <c r="S268" t="s">
        <v>33</v>
      </c>
      <c r="T268" t="str">
        <f>HYPERLINK("https://images.diginfra.net/framed3.html?imagesetuuid=a9adb8ed-3212-4745-a472-51257845b9e2&amp;uri=https://images.diginfra.net/iiif/NL-HaNA_1.01.02/3800/NL-HaNA_1.01.02_3800_0395.jpg", "viewer_url")</f>
        <v>viewer_url</v>
      </c>
      <c r="U268" t="str">
        <f>HYPERLINK("https://images.diginfra.net/iiif/NL-HaNA_1.01.02/3800/NL-HaNA_1.01.02_3800_0395.jpg/287,481,1102,2931/full/0/default.jpg", "iiif_url")</f>
        <v>iiif_url</v>
      </c>
      <c r="V268" t="s">
        <v>33</v>
      </c>
      <c r="W268" t="s">
        <v>1191</v>
      </c>
      <c r="X268" t="str">
        <f>HYPERLINK("https://images.diginfra.net/framed3.html?imagesetuuid=a9adb8ed-3212-4745-a472-51257845b9e2&amp;uri=https://images.diginfra.net/iiif/NL-HaNA_1.01.02/3800/NL-HaNA_1.01.02_3800_0393.jpg", "prev_meeting_viewer_url")</f>
        <v>prev_meeting_viewer_url</v>
      </c>
      <c r="Y268" t="str">
        <f>HYPERLINK("https://images.diginfra.net/iiif/NL-HaNA_1.01.02/3800/NL-HaNA_1.01.02_3800_0393.jpg/1228,1762,1085,1562/full/0/default.jpg", "prev_meeting_iiif_url")</f>
        <v>prev_meeting_iiif_url</v>
      </c>
      <c r="Z268" t="s">
        <v>33</v>
      </c>
      <c r="AA268" t="s">
        <v>1192</v>
      </c>
      <c r="AB268" t="str">
        <f>HYPERLINK("https://images.diginfra.net/framed3.html?imagesetuuid=a9adb8ed-3212-4745-a472-51257845b9e2&amp;uri=https://images.diginfra.net/iiif/NL-HaNA_1.01.02/3800/NL-HaNA_1.01.02_3800_0396.jpg", "next_meeting_viewer_url")</f>
        <v>next_meeting_viewer_url</v>
      </c>
      <c r="AC268" t="str">
        <f>HYPERLINK("https://images.diginfra.net/iiif/NL-HaNA_1.01.02/3800/NL-HaNA_1.01.02_3800_0396.jpg/1208,974,1120,2451/full/0/default.jpg", "next_meeting_iiif_url")</f>
        <v>next_meeting_iiif_url</v>
      </c>
    </row>
    <row r="269" spans="1:29" x14ac:dyDescent="0.2">
      <c r="A269" t="s">
        <v>1193</v>
      </c>
      <c r="B269" t="s">
        <v>79</v>
      </c>
      <c r="C269" t="s">
        <v>1194</v>
      </c>
      <c r="D269" t="b">
        <v>1</v>
      </c>
      <c r="E269" t="b">
        <v>1</v>
      </c>
      <c r="F269">
        <v>1</v>
      </c>
      <c r="I269" t="s">
        <v>1195</v>
      </c>
      <c r="J269">
        <v>3797</v>
      </c>
      <c r="K269">
        <v>359</v>
      </c>
      <c r="L269">
        <v>2559</v>
      </c>
      <c r="M269">
        <v>2426</v>
      </c>
      <c r="N269">
        <f t="shared" si="6"/>
        <v>718</v>
      </c>
      <c r="O269">
        <v>717</v>
      </c>
      <c r="P269">
        <v>0</v>
      </c>
      <c r="Q269">
        <v>3</v>
      </c>
      <c r="R269">
        <v>0</v>
      </c>
      <c r="S269" t="s">
        <v>33</v>
      </c>
      <c r="T269" t="str">
        <f>HYPERLINK("https://images.diginfra.net/framed3.html?imagesetuuid=02516f87-475f-4001-a332-8d96f5aecb93&amp;uri=https://images.diginfra.net/iiif/NL-HaNA_1.01.02/3797/NL-HaNA_1.01.02_3797_0359.jpg", "viewer_url")</f>
        <v>viewer_url</v>
      </c>
      <c r="U269" t="str">
        <f>HYPERLINK("https://images.diginfra.net/iiif/NL-HaNA_1.01.02/3797/NL-HaNA_1.01.02_3797_0359.jpg/2559,2426,1030,908/full/0/default.jpg", "iiif_url")</f>
        <v>iiif_url</v>
      </c>
      <c r="V269" t="s">
        <v>33</v>
      </c>
      <c r="W269" t="s">
        <v>530</v>
      </c>
      <c r="X269" t="str">
        <f>HYPERLINK("https://images.diginfra.net/framed3.html?imagesetuuid=02516f87-475f-4001-a332-8d96f5aecb93&amp;uri=https://images.diginfra.net/iiif/NL-HaNA_1.01.02/3797/NL-HaNA_1.01.02_3797_0346.jpg", "prev_meeting_viewer_url")</f>
        <v>prev_meeting_viewer_url</v>
      </c>
      <c r="Y269" t="str">
        <f>HYPERLINK("https://images.diginfra.net/iiif/NL-HaNA_1.01.02/3797/NL-HaNA_1.01.02_3797_0346.jpg/2541,2838,964,506/full/0/default.jpg", "prev_meeting_iiif_url")</f>
        <v>prev_meeting_iiif_url</v>
      </c>
      <c r="Z269" t="s">
        <v>33</v>
      </c>
      <c r="AA269" t="s">
        <v>1196</v>
      </c>
      <c r="AB269" t="str">
        <f>HYPERLINK("https://images.diginfra.net/framed3.html?imagesetuuid=02516f87-475f-4001-a332-8d96f5aecb93&amp;uri=https://images.diginfra.net/iiif/NL-HaNA_1.01.02/3797/NL-HaNA_1.01.02_3797_0360.jpg", "next_meeting_viewer_url")</f>
        <v>next_meeting_viewer_url</v>
      </c>
      <c r="AC269" t="str">
        <f>HYPERLINK("https://images.diginfra.net/iiif/NL-HaNA_1.01.02/3797/NL-HaNA_1.01.02_3797_0360.jpg/1267,1323,1102,2011/full/0/default.jpg", "next_meeting_iiif_url")</f>
        <v>next_meeting_iiif_url</v>
      </c>
    </row>
    <row r="270" spans="1:29" x14ac:dyDescent="0.2">
      <c r="A270" t="s">
        <v>1197</v>
      </c>
      <c r="B270" t="s">
        <v>85</v>
      </c>
      <c r="C270" t="s">
        <v>1198</v>
      </c>
      <c r="D270" t="b">
        <v>1</v>
      </c>
      <c r="E270" t="b">
        <v>1</v>
      </c>
      <c r="F270">
        <v>1</v>
      </c>
      <c r="I270" t="s">
        <v>1199</v>
      </c>
      <c r="J270">
        <v>3803</v>
      </c>
      <c r="K270">
        <v>358</v>
      </c>
      <c r="L270">
        <v>1174</v>
      </c>
      <c r="M270">
        <v>1441</v>
      </c>
      <c r="N270">
        <f t="shared" si="6"/>
        <v>716</v>
      </c>
      <c r="O270">
        <v>714</v>
      </c>
      <c r="P270">
        <v>1</v>
      </c>
      <c r="Q270">
        <v>2</v>
      </c>
      <c r="R270">
        <v>0</v>
      </c>
      <c r="S270" t="s">
        <v>33</v>
      </c>
      <c r="T270" t="str">
        <f>HYPERLINK("https://images.diginfra.net/framed3.html?imagesetuuid=38df7783-1913-47c1-b96e-bdb08c6574dc&amp;uri=https://images.diginfra.net/iiif/NL-HaNA_1.01.02/3803/NL-HaNA_1.01.02_3803_0358.jpg", "viewer_url")</f>
        <v>viewer_url</v>
      </c>
      <c r="U270" t="str">
        <f>HYPERLINK("https://images.diginfra.net/iiif/NL-HaNA_1.01.02/3803/NL-HaNA_1.01.02_3803_0358.jpg/1174,1441,1101,1905/full/0/default.jpg", "iiif_url")</f>
        <v>iiif_url</v>
      </c>
      <c r="V270" t="s">
        <v>33</v>
      </c>
      <c r="W270" t="s">
        <v>662</v>
      </c>
      <c r="X270" t="str">
        <f>HYPERLINK("https://images.diginfra.net/framed3.html?imagesetuuid=38df7783-1913-47c1-b96e-bdb08c6574dc&amp;uri=https://images.diginfra.net/iiif/NL-HaNA_1.01.02/3803/NL-HaNA_1.01.02_3803_0358.jpg", "prev_meeting_viewer_url")</f>
        <v>prev_meeting_viewer_url</v>
      </c>
      <c r="Y270" t="str">
        <f>HYPERLINK("https://images.diginfra.net/iiif/NL-HaNA_1.01.02/3803/NL-HaNA_1.01.02_3803_0358.jpg/224,1574,1093,1794/full/0/default.jpg", "prev_meeting_iiif_url")</f>
        <v>prev_meeting_iiif_url</v>
      </c>
      <c r="Z270" t="s">
        <v>33</v>
      </c>
      <c r="AA270" t="s">
        <v>1200</v>
      </c>
      <c r="AB270" t="str">
        <f>HYPERLINK("https://images.diginfra.net/framed3.html?imagesetuuid=38df7783-1913-47c1-b96e-bdb08c6574dc&amp;uri=https://images.diginfra.net/iiif/NL-HaNA_1.01.02/3803/NL-HaNA_1.01.02_3803_0360.jpg", "next_meeting_viewer_url")</f>
        <v>next_meeting_viewer_url</v>
      </c>
      <c r="AC270" t="str">
        <f>HYPERLINK("https://images.diginfra.net/iiif/NL-HaNA_1.01.02/3803/NL-HaNA_1.01.02_3803_0360.jpg/3307,1212,1098,2190/full/0/default.jpg", "next_meeting_iiif_url")</f>
        <v>next_meeting_iiif_url</v>
      </c>
    </row>
    <row r="271" spans="1:29" x14ac:dyDescent="0.2">
      <c r="A271" t="s">
        <v>1201</v>
      </c>
      <c r="B271" t="s">
        <v>63</v>
      </c>
      <c r="D271" t="b">
        <v>0</v>
      </c>
      <c r="E271" t="b">
        <v>0</v>
      </c>
      <c r="F271">
        <v>1</v>
      </c>
      <c r="I271" t="s">
        <v>1202</v>
      </c>
      <c r="J271">
        <v>3776</v>
      </c>
      <c r="K271">
        <v>110</v>
      </c>
      <c r="N271">
        <f t="shared" si="6"/>
        <v>220</v>
      </c>
      <c r="O271">
        <v>219</v>
      </c>
      <c r="P271">
        <v>1</v>
      </c>
      <c r="Q271">
        <v>1</v>
      </c>
      <c r="R271">
        <v>0</v>
      </c>
      <c r="S271" t="s">
        <v>33</v>
      </c>
      <c r="T271" t="str">
        <f>HYPERLINK("https://images.diginfra.net/framed3.html?imagesetuuid=cce3dc39-04f4-4d57-b3db-fdf0a2653e66&amp;uri=https://images.diginfra.net/iiif/NL-HaNA_1.01.02/3776/NL-HaNA_1.01.02_3776_0110.jpg", "viewer_url")</f>
        <v>viewer_url</v>
      </c>
      <c r="U271" t="str">
        <f>HYPERLINK("https://images.diginfra.net/iiif/NL-HaNA_1.01.02/3776/NL-HaNA_1.01.02_3776_0110.jpg/3559,2523,1035,827/full/0/default.jpg", "iiif_url")</f>
        <v>iiif_url</v>
      </c>
      <c r="V271" t="s">
        <v>33</v>
      </c>
      <c r="W271" t="s">
        <v>1203</v>
      </c>
      <c r="X271" t="str">
        <f>HYPERLINK("https://images.diginfra.net/framed3.html?imagesetuuid=cce3dc39-04f4-4d57-b3db-fdf0a2653e66&amp;uri=https://images.diginfra.net/iiif/NL-HaNA_1.01.02/3776/NL-HaNA_1.01.02_3776_0109.jpg", "prev_meeting_viewer_url")</f>
        <v>prev_meeting_viewer_url</v>
      </c>
      <c r="Y271" t="str">
        <f>HYPERLINK("https://images.diginfra.net/iiif/NL-HaNA_1.01.02/3776/NL-HaNA_1.01.02_3776_0109.jpg/349,493,1098,2917/full/0/default.jpg", "prev_meeting_iiif_url")</f>
        <v>prev_meeting_iiif_url</v>
      </c>
      <c r="Z271" t="s">
        <v>33</v>
      </c>
      <c r="AA271" t="s">
        <v>1204</v>
      </c>
      <c r="AB271" t="str">
        <f>HYPERLINK("https://images.diginfra.net/framed3.html?imagesetuuid=cce3dc39-04f4-4d57-b3db-fdf0a2653e66&amp;uri=https://images.diginfra.net/iiif/NL-HaNA_1.01.02/3776/NL-HaNA_1.01.02_3776_0110.jpg", "next_meeting_viewer_url")</f>
        <v>next_meeting_viewer_url</v>
      </c>
      <c r="AC271" t="str">
        <f>HYPERLINK("https://images.diginfra.net/iiif/NL-HaNA_1.01.02/3776/NL-HaNA_1.01.02_3776_0110.jpg/3559,2523,1035,827/full/0/default.jpg", "next_meeting_iiif_url")</f>
        <v>next_meeting_iiif_url</v>
      </c>
    </row>
    <row r="272" spans="1:29" x14ac:dyDescent="0.2">
      <c r="A272" t="s">
        <v>1205</v>
      </c>
      <c r="B272" t="s">
        <v>85</v>
      </c>
      <c r="C272" t="s">
        <v>1206</v>
      </c>
      <c r="D272" t="b">
        <v>1</v>
      </c>
      <c r="E272" t="b">
        <v>1</v>
      </c>
      <c r="F272">
        <v>1</v>
      </c>
      <c r="I272" t="s">
        <v>1207</v>
      </c>
      <c r="J272">
        <v>3829</v>
      </c>
      <c r="K272">
        <v>445</v>
      </c>
      <c r="L272">
        <v>3397</v>
      </c>
      <c r="M272">
        <v>2058</v>
      </c>
      <c r="N272">
        <f t="shared" si="6"/>
        <v>890</v>
      </c>
      <c r="O272">
        <v>889</v>
      </c>
      <c r="P272">
        <v>2</v>
      </c>
      <c r="Q272">
        <v>1</v>
      </c>
      <c r="R272">
        <v>0</v>
      </c>
      <c r="S272" t="s">
        <v>33</v>
      </c>
      <c r="T272" t="str">
        <f>HYPERLINK("https://images.diginfra.net/framed3.html?imagesetuuid=4a630f3a-34aa-4b1a-92d1-c32d4455e96f&amp;uri=https://images.diginfra.net/iiif/NL-HaNA_1.01.02/3829/NL-HaNA_1.01.02_3829_0445.jpg", "viewer_url")</f>
        <v>viewer_url</v>
      </c>
      <c r="U272" t="str">
        <f>HYPERLINK("https://images.diginfra.net/iiif/NL-HaNA_1.01.02/3829/NL-HaNA_1.01.02_3829_0445.jpg/3397,2058,1029,1187/full/0/default.jpg", "iiif_url")</f>
        <v>iiif_url</v>
      </c>
      <c r="V272" t="s">
        <v>33</v>
      </c>
      <c r="W272" t="s">
        <v>1208</v>
      </c>
      <c r="X272" t="str">
        <f>HYPERLINK("https://images.diginfra.net/framed3.html?imagesetuuid=4a630f3a-34aa-4b1a-92d1-c32d4455e96f&amp;uri=https://images.diginfra.net/iiif/NL-HaNA_1.01.02/3829/NL-HaNA_1.01.02_3829_0445.jpg", "prev_meeting_viewer_url")</f>
        <v>prev_meeting_viewer_url</v>
      </c>
      <c r="Y272" t="str">
        <f>HYPERLINK("https://images.diginfra.net/iiif/NL-HaNA_1.01.02/3829/NL-HaNA_1.01.02_3829_0445.jpg/2363,695,1099,2654/full/0/default.jpg", "prev_meeting_iiif_url")</f>
        <v>prev_meeting_iiif_url</v>
      </c>
      <c r="Z272" t="s">
        <v>33</v>
      </c>
      <c r="AA272" t="s">
        <v>1209</v>
      </c>
      <c r="AB272" t="str">
        <f>HYPERLINK("https://images.diginfra.net/framed3.html?imagesetuuid=4a630f3a-34aa-4b1a-92d1-c32d4455e96f&amp;uri=https://images.diginfra.net/iiif/NL-HaNA_1.01.02/3829/NL-HaNA_1.01.02_3829_0448.jpg", "next_meeting_viewer_url")</f>
        <v>next_meeting_viewer_url</v>
      </c>
      <c r="AC272" t="str">
        <f>HYPERLINK("https://images.diginfra.net/iiif/NL-HaNA_1.01.02/3829/NL-HaNA_1.01.02_3829_0448.jpg/1189,1060,1095,2324/full/0/default.jpg", "next_meeting_iiif_url")</f>
        <v>next_meeting_iiif_url</v>
      </c>
    </row>
    <row r="273" spans="1:29" x14ac:dyDescent="0.2">
      <c r="A273" t="s">
        <v>1210</v>
      </c>
      <c r="B273" t="s">
        <v>37</v>
      </c>
      <c r="C273" t="s">
        <v>1211</v>
      </c>
      <c r="D273" t="b">
        <v>1</v>
      </c>
      <c r="E273" t="b">
        <v>1</v>
      </c>
      <c r="F273">
        <v>1</v>
      </c>
      <c r="I273" t="s">
        <v>1212</v>
      </c>
      <c r="J273">
        <v>3804</v>
      </c>
      <c r="K273">
        <v>198</v>
      </c>
      <c r="L273">
        <v>3360</v>
      </c>
      <c r="M273">
        <v>709</v>
      </c>
      <c r="N273">
        <f t="shared" si="6"/>
        <v>396</v>
      </c>
      <c r="O273">
        <v>395</v>
      </c>
      <c r="P273">
        <v>1</v>
      </c>
      <c r="Q273">
        <v>0</v>
      </c>
      <c r="R273">
        <v>10</v>
      </c>
      <c r="S273" t="s">
        <v>33</v>
      </c>
      <c r="T273" t="str">
        <f>HYPERLINK("https://images.diginfra.net/framed3.html?imagesetuuid=278358e3-85df-45df-a4c3-0043ae8e62fa&amp;uri=https://images.diginfra.net/iiif/NL-HaNA_1.01.02/3804/NL-HaNA_1.01.02_3804_0198.jpg", "viewer_url")</f>
        <v>viewer_url</v>
      </c>
      <c r="U273" t="str">
        <f>HYPERLINK("https://images.diginfra.net/iiif/NL-HaNA_1.01.02/3804/NL-HaNA_1.01.02_3804_0198.jpg/3360,709,1108,2646/full/0/default.jpg", "iiif_url")</f>
        <v>iiif_url</v>
      </c>
      <c r="V273" t="s">
        <v>33</v>
      </c>
      <c r="W273" t="s">
        <v>1213</v>
      </c>
      <c r="X273" t="str">
        <f>HYPERLINK("https://images.diginfra.net/framed3.html?imagesetuuid=278358e3-85df-45df-a4c3-0043ae8e62fa&amp;uri=https://images.diginfra.net/iiif/NL-HaNA_1.01.02/3804/NL-HaNA_1.01.02_3804_0196.jpg", "prev_meeting_viewer_url")</f>
        <v>prev_meeting_viewer_url</v>
      </c>
      <c r="Y273" t="str">
        <f>HYPERLINK("https://images.diginfra.net/iiif/NL-HaNA_1.01.02/3804/NL-HaNA_1.01.02_3804_0196.jpg/3350,559,1096,2802/full/0/default.jpg", "prev_meeting_iiif_url")</f>
        <v>prev_meeting_iiif_url</v>
      </c>
      <c r="Z273" t="s">
        <v>33</v>
      </c>
      <c r="AA273" t="s">
        <v>1214</v>
      </c>
      <c r="AB273" t="str">
        <f>HYPERLINK("https://images.diginfra.net/framed3.html?imagesetuuid=278358e3-85df-45df-a4c3-0043ae8e62fa&amp;uri=https://images.diginfra.net/iiif/NL-HaNA_1.01.02/3804/NL-HaNA_1.01.02_3804_0202.jpg", "next_meeting_viewer_url")</f>
        <v>next_meeting_viewer_url</v>
      </c>
      <c r="AC273" t="str">
        <f>HYPERLINK("https://images.diginfra.net/iiif/NL-HaNA_1.01.02/3804/NL-HaNA_1.01.02_3804_0202.jpg/1298,2824,1037,601/full/0/default.jpg", "next_meeting_iiif_url")</f>
        <v>next_meeting_iiif_url</v>
      </c>
    </row>
    <row r="274" spans="1:29" x14ac:dyDescent="0.2">
      <c r="A274" t="s">
        <v>1215</v>
      </c>
      <c r="B274" t="s">
        <v>63</v>
      </c>
      <c r="D274" t="b">
        <v>0</v>
      </c>
      <c r="E274" t="b">
        <v>0</v>
      </c>
      <c r="F274">
        <v>1</v>
      </c>
      <c r="I274" t="s">
        <v>1216</v>
      </c>
      <c r="J274">
        <v>3794</v>
      </c>
      <c r="K274">
        <v>394</v>
      </c>
      <c r="N274">
        <f t="shared" si="6"/>
        <v>788</v>
      </c>
      <c r="O274">
        <v>786</v>
      </c>
      <c r="P274">
        <v>1</v>
      </c>
      <c r="Q274">
        <v>2</v>
      </c>
      <c r="R274">
        <v>0</v>
      </c>
      <c r="S274" t="s">
        <v>33</v>
      </c>
      <c r="T274" t="str">
        <f>HYPERLINK("https://images.diginfra.net/framed3.html?imagesetuuid=5debb5c6-ae39-480e-845e-6e10690f8984&amp;uri=https://images.diginfra.net/iiif/NL-HaNA_1.01.02/3794/NL-HaNA_1.01.02_3794_0394.jpg", "viewer_url")</f>
        <v>viewer_url</v>
      </c>
      <c r="U274" t="str">
        <f>HYPERLINK("https://images.diginfra.net/iiif/NL-HaNA_1.01.02/3794/NL-HaNA_1.01.02_3794_0394.jpg/1265,1639,1103,1836/full/0/default.jpg", "iiif_url")</f>
        <v>iiif_url</v>
      </c>
      <c r="V274" t="s">
        <v>33</v>
      </c>
      <c r="W274" t="s">
        <v>1217</v>
      </c>
      <c r="X274" t="str">
        <f>HYPERLINK("https://images.diginfra.net/framed3.html?imagesetuuid=5debb5c6-ae39-480e-845e-6e10690f8984&amp;uri=https://images.diginfra.net/iiif/NL-HaNA_1.01.02/3794/NL-HaNA_1.01.02_3794_0394.jpg", "prev_meeting_viewer_url")</f>
        <v>prev_meeting_viewer_url</v>
      </c>
      <c r="Y274" t="str">
        <f>HYPERLINK("https://images.diginfra.net/iiif/NL-HaNA_1.01.02/3794/NL-HaNA_1.01.02_3794_0394.jpg/337,1970,1078,1499/full/0/default.jpg", "prev_meeting_iiif_url")</f>
        <v>prev_meeting_iiif_url</v>
      </c>
      <c r="Z274" t="s">
        <v>33</v>
      </c>
      <c r="AA274" t="s">
        <v>1218</v>
      </c>
      <c r="AB274" t="str">
        <f>HYPERLINK("https://images.diginfra.net/framed3.html?imagesetuuid=5debb5c6-ae39-480e-845e-6e10690f8984&amp;uri=https://images.diginfra.net/iiif/NL-HaNA_1.01.02/3794/NL-HaNA_1.01.02_3794_0394.jpg", "next_meeting_viewer_url")</f>
        <v>next_meeting_viewer_url</v>
      </c>
      <c r="AC274" t="str">
        <f>HYPERLINK("https://images.diginfra.net/iiif/NL-HaNA_1.01.02/3794/NL-HaNA_1.01.02_3794_0394.jpg/1265,1639,1103,1836/full/0/default.jpg", "next_meeting_iiif_url")</f>
        <v>next_meeting_iiif_url</v>
      </c>
    </row>
    <row r="275" spans="1:29" x14ac:dyDescent="0.2">
      <c r="A275" t="s">
        <v>1219</v>
      </c>
      <c r="B275" t="s">
        <v>30</v>
      </c>
      <c r="C275" t="s">
        <v>1220</v>
      </c>
      <c r="D275" t="b">
        <v>1</v>
      </c>
      <c r="E275" t="b">
        <v>1</v>
      </c>
      <c r="F275">
        <v>1</v>
      </c>
      <c r="I275" t="s">
        <v>1221</v>
      </c>
      <c r="J275">
        <v>3819</v>
      </c>
      <c r="K275">
        <v>125</v>
      </c>
      <c r="L275">
        <v>2518</v>
      </c>
      <c r="M275">
        <v>2905</v>
      </c>
      <c r="N275">
        <f t="shared" si="6"/>
        <v>250</v>
      </c>
      <c r="O275">
        <v>249</v>
      </c>
      <c r="P275">
        <v>0</v>
      </c>
      <c r="Q275">
        <v>2</v>
      </c>
      <c r="R275">
        <v>0</v>
      </c>
      <c r="S275" t="s">
        <v>33</v>
      </c>
      <c r="T275" t="str">
        <f>HYPERLINK("https://images.diginfra.net/framed3.html?imagesetuuid=711b4f86-3dbd-47ca-af9d-52eb1c30bc58&amp;uri=https://images.diginfra.net/iiif/NL-HaNA_1.01.02/3819/NL-HaNA_1.01.02_3819_0125.jpg", "viewer_url")</f>
        <v>viewer_url</v>
      </c>
      <c r="U275" t="str">
        <f>HYPERLINK("https://images.diginfra.net/iiif/NL-HaNA_1.01.02/3819/NL-HaNA_1.01.02_3819_0125.jpg/2518,2905,796,388/full/0/default.jpg", "iiif_url")</f>
        <v>iiif_url</v>
      </c>
      <c r="V275" t="s">
        <v>33</v>
      </c>
      <c r="W275" t="s">
        <v>1222</v>
      </c>
      <c r="X275" t="str">
        <f>HYPERLINK("https://images.diginfra.net/framed3.html?imagesetuuid=711b4f86-3dbd-47ca-af9d-52eb1c30bc58&amp;uri=https://images.diginfra.net/iiif/NL-HaNA_1.01.02/3819/NL-HaNA_1.01.02_3819_0123.jpg", "prev_meeting_viewer_url")</f>
        <v>prev_meeting_viewer_url</v>
      </c>
      <c r="Y275" t="str">
        <f>HYPERLINK("https://images.diginfra.net/iiif/NL-HaNA_1.01.02/3819/NL-HaNA_1.01.02_3819_0123.jpg/292,1876,1029,1423/full/0/default.jpg", "prev_meeting_iiif_url")</f>
        <v>prev_meeting_iiif_url</v>
      </c>
      <c r="Z275" t="s">
        <v>33</v>
      </c>
      <c r="AA275" t="s">
        <v>1223</v>
      </c>
      <c r="AB275" t="str">
        <f>HYPERLINK("https://images.diginfra.net/framed3.html?imagesetuuid=711b4f86-3dbd-47ca-af9d-52eb1c30bc58&amp;uri=https://images.diginfra.net/iiif/NL-HaNA_1.01.02/3819/NL-HaNA_1.01.02_3819_0127.jpg", "next_meeting_viewer_url")</f>
        <v>next_meeting_viewer_url</v>
      </c>
      <c r="AC275" t="str">
        <f>HYPERLINK("https://images.diginfra.net/iiif/NL-HaNA_1.01.02/3819/NL-HaNA_1.01.02_3819_0127.jpg/260,1861,1091,1519/full/0/default.jpg", "next_meeting_iiif_url")</f>
        <v>next_meeting_iiif_url</v>
      </c>
    </row>
    <row r="276" spans="1:29" x14ac:dyDescent="0.2">
      <c r="A276" t="s">
        <v>1224</v>
      </c>
      <c r="B276" t="s">
        <v>85</v>
      </c>
      <c r="C276" t="s">
        <v>1225</v>
      </c>
      <c r="D276" t="b">
        <v>1</v>
      </c>
      <c r="E276" t="b">
        <v>1</v>
      </c>
      <c r="F276">
        <v>1</v>
      </c>
      <c r="I276" t="s">
        <v>1226</v>
      </c>
      <c r="J276">
        <v>3787</v>
      </c>
      <c r="K276">
        <v>377</v>
      </c>
      <c r="L276">
        <v>1130</v>
      </c>
      <c r="M276">
        <v>1318</v>
      </c>
      <c r="N276">
        <f t="shared" si="6"/>
        <v>754</v>
      </c>
      <c r="O276">
        <v>752</v>
      </c>
      <c r="P276">
        <v>1</v>
      </c>
      <c r="Q276">
        <v>1</v>
      </c>
      <c r="R276">
        <v>0</v>
      </c>
      <c r="S276" t="s">
        <v>33</v>
      </c>
      <c r="T276" t="str">
        <f>HYPERLINK("https://images.diginfra.net/framed3.html?imagesetuuid=db7b00f7-0cd1-4078-9123-41ccf17bd821&amp;uri=https://images.diginfra.net/iiif/NL-HaNA_1.01.02/3787/NL-HaNA_1.01.02_3787_0377.jpg", "viewer_url")</f>
        <v>viewer_url</v>
      </c>
      <c r="U276" t="str">
        <f>HYPERLINK("https://images.diginfra.net/iiif/NL-HaNA_1.01.02/3787/NL-HaNA_1.01.02_3787_0377.jpg/1130,1318,1110,2084/full/0/default.jpg", "iiif_url")</f>
        <v>iiif_url</v>
      </c>
      <c r="V276" t="s">
        <v>33</v>
      </c>
      <c r="W276" t="s">
        <v>1227</v>
      </c>
      <c r="X276" t="str">
        <f>HYPERLINK("https://images.diginfra.net/framed3.html?imagesetuuid=db7b00f7-0cd1-4078-9123-41ccf17bd821&amp;uri=https://images.diginfra.net/iiif/NL-HaNA_1.01.02/3787/NL-HaNA_1.01.02_3787_0376.jpg", "prev_meeting_viewer_url")</f>
        <v>prev_meeting_viewer_url</v>
      </c>
      <c r="Y276" t="str">
        <f>HYPERLINK("https://images.diginfra.net/iiif/NL-HaNA_1.01.02/3787/NL-HaNA_1.01.02_3787_0376.jpg/2382,1301,1080,2134/full/0/default.jpg", "prev_meeting_iiif_url")</f>
        <v>prev_meeting_iiif_url</v>
      </c>
      <c r="Z276" t="s">
        <v>33</v>
      </c>
      <c r="AA276" t="s">
        <v>1228</v>
      </c>
      <c r="AB276" t="str">
        <f>HYPERLINK("https://images.diginfra.net/framed3.html?imagesetuuid=db7b00f7-0cd1-4078-9123-41ccf17bd821&amp;uri=https://images.diginfra.net/iiif/NL-HaNA_1.01.02/3787/NL-HaNA_1.01.02_3787_0379.jpg", "next_meeting_viewer_url")</f>
        <v>next_meeting_viewer_url</v>
      </c>
      <c r="AC276" t="str">
        <f>HYPERLINK("https://images.diginfra.net/iiif/NL-HaNA_1.01.02/3787/NL-HaNA_1.01.02_3787_0379.jpg/1148,1798,1102,1629/full/0/default.jpg", "next_meeting_iiif_url")</f>
        <v>next_meeting_iiif_url</v>
      </c>
    </row>
    <row r="277" spans="1:29" x14ac:dyDescent="0.2">
      <c r="A277" t="s">
        <v>1229</v>
      </c>
      <c r="B277" t="s">
        <v>85</v>
      </c>
      <c r="C277" t="s">
        <v>146</v>
      </c>
      <c r="D277" t="b">
        <v>1</v>
      </c>
      <c r="E277" t="b">
        <v>1</v>
      </c>
      <c r="F277">
        <v>1</v>
      </c>
      <c r="I277" t="s">
        <v>1230</v>
      </c>
      <c r="J277">
        <v>3839</v>
      </c>
      <c r="K277">
        <v>244</v>
      </c>
      <c r="L277">
        <v>237</v>
      </c>
      <c r="M277">
        <v>2098</v>
      </c>
      <c r="N277">
        <f t="shared" si="6"/>
        <v>488</v>
      </c>
      <c r="O277">
        <v>486</v>
      </c>
      <c r="P277">
        <v>0</v>
      </c>
      <c r="Q277">
        <v>1</v>
      </c>
      <c r="R277">
        <v>26</v>
      </c>
      <c r="S277" t="s">
        <v>33</v>
      </c>
      <c r="T277" t="str">
        <f>HYPERLINK("https://images.diginfra.net/framed3.html?imagesetuuid=bd074b51-3206-4dd9-b65b-2a404481d480&amp;uri=https://images.diginfra.net/iiif/NL-HaNA_1.01.02/3839/NL-HaNA_1.01.02_3839_0244.jpg", "viewer_url")</f>
        <v>viewer_url</v>
      </c>
      <c r="U277" t="str">
        <f>HYPERLINK("https://images.diginfra.net/iiif/NL-HaNA_1.01.02/3839/NL-HaNA_1.01.02_3839_0244.jpg/237,2098,1048,1283/full/0/default.jpg", "iiif_url")</f>
        <v>iiif_url</v>
      </c>
      <c r="V277" t="s">
        <v>33</v>
      </c>
      <c r="W277" t="s">
        <v>1231</v>
      </c>
      <c r="X277" t="str">
        <f>HYPERLINK("https://images.diginfra.net/framed3.html?imagesetuuid=bd074b51-3206-4dd9-b65b-2a404481d480&amp;uri=https://images.diginfra.net/iiif/NL-HaNA_1.01.02/3839/NL-HaNA_1.01.02_3839_0243.jpg", "prev_meeting_viewer_url")</f>
        <v>prev_meeting_viewer_url</v>
      </c>
      <c r="Y277" t="str">
        <f>HYPERLINK("https://images.diginfra.net/iiif/NL-HaNA_1.01.02/3839/NL-HaNA_1.01.02_3839_0243.jpg/1201,1897,1070,1407/full/0/default.jpg", "prev_meeting_iiif_url")</f>
        <v>prev_meeting_iiif_url</v>
      </c>
      <c r="Z277" t="s">
        <v>44</v>
      </c>
      <c r="AA277" t="s">
        <v>1232</v>
      </c>
      <c r="AB277" t="str">
        <f>HYPERLINK("https://images.diginfra.net/framed3.html?imagesetuuid=bd074b51-3206-4dd9-b65b-2a404481d480&amp;uri=https://images.diginfra.net/iiif/NL-HaNA_1.01.02/3839/NL-HaNA_1.01.02_3839_0245.jpg", "next_meeting_viewer_url")</f>
        <v>next_meeting_viewer_url</v>
      </c>
      <c r="AC277" t="str">
        <f>HYPERLINK("https://images.diginfra.net/iiif/NL-HaNA_1.01.02/3839/NL-HaNA_1.01.02_3839_0245.jpg/1173,1296,1102,2139/full/0/default.jpg", "next_meeting_iiif_url")</f>
        <v>next_meeting_iiif_url</v>
      </c>
    </row>
    <row r="278" spans="1:29" x14ac:dyDescent="0.2">
      <c r="A278" t="s">
        <v>1233</v>
      </c>
      <c r="B278" t="s">
        <v>59</v>
      </c>
      <c r="C278" t="s">
        <v>1234</v>
      </c>
      <c r="D278" t="b">
        <v>1</v>
      </c>
      <c r="E278" t="b">
        <v>1</v>
      </c>
      <c r="F278">
        <v>1</v>
      </c>
      <c r="I278" t="s">
        <v>1235</v>
      </c>
      <c r="J278">
        <v>3763</v>
      </c>
      <c r="K278">
        <v>105</v>
      </c>
      <c r="L278">
        <v>2337</v>
      </c>
      <c r="M278">
        <v>1943</v>
      </c>
      <c r="N278">
        <f t="shared" si="6"/>
        <v>210</v>
      </c>
      <c r="O278">
        <v>209</v>
      </c>
      <c r="P278">
        <v>0</v>
      </c>
      <c r="Q278">
        <v>1</v>
      </c>
      <c r="R278">
        <v>0</v>
      </c>
      <c r="S278" t="s">
        <v>33</v>
      </c>
      <c r="T278" t="str">
        <f>HYPERLINK("https://images.diginfra.net/framed3.html?imagesetuuid=168ac05c-00de-43e1-bb35-d8e406b92363&amp;uri=https://images.diginfra.net/iiif/NL-HaNA_1.01.02/3763/NL-HaNA_1.01.02_3763_0105.jpg", "viewer_url")</f>
        <v>viewer_url</v>
      </c>
      <c r="U278" t="str">
        <f>HYPERLINK("https://images.diginfra.net/iiif/NL-HaNA_1.01.02/3763/NL-HaNA_1.01.02_3763_0105.jpg/2337,1943,1088,1424/full/0/default.jpg", "iiif_url")</f>
        <v>iiif_url</v>
      </c>
      <c r="V278" t="s">
        <v>33</v>
      </c>
      <c r="W278" t="s">
        <v>1236</v>
      </c>
      <c r="X278" t="str">
        <f>HYPERLINK("https://images.diginfra.net/framed3.html?imagesetuuid=168ac05c-00de-43e1-bb35-d8e406b92363&amp;uri=https://images.diginfra.net/iiif/NL-HaNA_1.01.02/3763/NL-HaNA_1.01.02_3763_0104.jpg", "prev_meeting_viewer_url")</f>
        <v>prev_meeting_viewer_url</v>
      </c>
      <c r="Y278" t="str">
        <f>HYPERLINK("https://images.diginfra.net/iiif/NL-HaNA_1.01.02/3763/NL-HaNA_1.01.02_3763_0104.jpg/2324,1034,1094,2292/full/0/default.jpg", "prev_meeting_iiif_url")</f>
        <v>prev_meeting_iiif_url</v>
      </c>
      <c r="Z278" t="s">
        <v>33</v>
      </c>
      <c r="AA278" t="s">
        <v>1237</v>
      </c>
      <c r="AB278" t="str">
        <f>HYPERLINK("https://images.diginfra.net/framed3.html?imagesetuuid=168ac05c-00de-43e1-bb35-d8e406b92363&amp;uri=https://images.diginfra.net/iiif/NL-HaNA_1.01.02/3763/NL-HaNA_1.01.02_3763_0108.jpg", "next_meeting_viewer_url")</f>
        <v>next_meeting_viewer_url</v>
      </c>
      <c r="AC278" t="str">
        <f>HYPERLINK("https://images.diginfra.net/iiif/NL-HaNA_1.01.02/3763/NL-HaNA_1.01.02_3763_0108.jpg/1211,1243,1096,2145/full/0/default.jpg", "next_meeting_iiif_url")</f>
        <v>next_meeting_iiif_url</v>
      </c>
    </row>
    <row r="279" spans="1:29" x14ac:dyDescent="0.2">
      <c r="A279" t="s">
        <v>1238</v>
      </c>
      <c r="B279" t="s">
        <v>48</v>
      </c>
      <c r="C279" t="s">
        <v>1239</v>
      </c>
      <c r="D279" t="b">
        <v>1</v>
      </c>
      <c r="E279" t="b">
        <v>1</v>
      </c>
      <c r="F279">
        <v>1</v>
      </c>
      <c r="I279" t="s">
        <v>1240</v>
      </c>
      <c r="J279">
        <v>3832</v>
      </c>
      <c r="K279">
        <v>94</v>
      </c>
      <c r="L279">
        <v>3292</v>
      </c>
      <c r="M279">
        <v>530</v>
      </c>
      <c r="N279">
        <f t="shared" si="6"/>
        <v>188</v>
      </c>
      <c r="O279">
        <v>187</v>
      </c>
      <c r="P279">
        <v>1</v>
      </c>
      <c r="Q279">
        <v>1</v>
      </c>
      <c r="R279">
        <v>0</v>
      </c>
      <c r="S279" t="s">
        <v>33</v>
      </c>
      <c r="T279" t="str">
        <f>HYPERLINK("https://images.diginfra.net/framed3.html?imagesetuuid=e4d299a2-71b5-40fc-b329-60132fadd11f&amp;uri=https://images.diginfra.net/iiif/NL-HaNA_1.01.02/3832/NL-HaNA_1.01.02_3832_0094.jpg", "viewer_url")</f>
        <v>viewer_url</v>
      </c>
      <c r="U279" t="str">
        <f>HYPERLINK("https://images.diginfra.net/iiif/NL-HaNA_1.01.02/3832/NL-HaNA_1.01.02_3832_0094.jpg/3292,530,1082,2786/full/0/default.jpg", "iiif_url")</f>
        <v>iiif_url</v>
      </c>
      <c r="V279" t="s">
        <v>33</v>
      </c>
      <c r="W279" t="s">
        <v>1241</v>
      </c>
      <c r="X279" t="str">
        <f>HYPERLINK("https://images.diginfra.net/framed3.html?imagesetuuid=e4d299a2-71b5-40fc-b329-60132fadd11f&amp;uri=https://images.diginfra.net/iiif/NL-HaNA_1.01.02/3832/NL-HaNA_1.01.02_3832_0093.jpg", "prev_meeting_viewer_url")</f>
        <v>prev_meeting_viewer_url</v>
      </c>
      <c r="Y279" t="str">
        <f>HYPERLINK("https://images.diginfra.net/iiif/NL-HaNA_1.01.02/3832/NL-HaNA_1.01.02_3832_0093.jpg/1185,2531,1060,902/full/0/default.jpg", "prev_meeting_iiif_url")</f>
        <v>prev_meeting_iiif_url</v>
      </c>
      <c r="Z279" t="s">
        <v>33</v>
      </c>
      <c r="AA279" t="s">
        <v>1242</v>
      </c>
      <c r="AB279" t="str">
        <f>HYPERLINK("https://images.diginfra.net/framed3.html?imagesetuuid=e4d299a2-71b5-40fc-b329-60132fadd11f&amp;uri=https://images.diginfra.net/iiif/NL-HaNA_1.01.02/3832/NL-HaNA_1.01.02_3832_0098.jpg", "next_meeting_viewer_url")</f>
        <v>next_meeting_viewer_url</v>
      </c>
      <c r="AC279" t="str">
        <f>HYPERLINK("https://images.diginfra.net/iiif/NL-HaNA_1.01.02/3832/NL-HaNA_1.01.02_3832_0098.jpg/274,1587,1082,1781/full/0/default.jpg", "next_meeting_iiif_url")</f>
        <v>next_meeting_iiif_url</v>
      </c>
    </row>
    <row r="280" spans="1:29" x14ac:dyDescent="0.2">
      <c r="A280" t="s">
        <v>1243</v>
      </c>
      <c r="B280" t="s">
        <v>85</v>
      </c>
      <c r="C280" t="s">
        <v>1244</v>
      </c>
      <c r="D280" t="b">
        <v>1</v>
      </c>
      <c r="E280" t="b">
        <v>1</v>
      </c>
      <c r="F280">
        <v>1</v>
      </c>
      <c r="I280" t="s">
        <v>1245</v>
      </c>
      <c r="J280">
        <v>3858</v>
      </c>
      <c r="K280">
        <v>266</v>
      </c>
      <c r="L280">
        <v>3266</v>
      </c>
      <c r="M280">
        <v>2319</v>
      </c>
      <c r="N280">
        <f t="shared" si="6"/>
        <v>532</v>
      </c>
      <c r="O280">
        <v>531</v>
      </c>
      <c r="P280">
        <v>0</v>
      </c>
      <c r="Q280">
        <v>2</v>
      </c>
      <c r="R280">
        <v>0</v>
      </c>
      <c r="S280" t="s">
        <v>33</v>
      </c>
      <c r="T280" t="str">
        <f>HYPERLINK("https://images.diginfra.net/framed3.html?imagesetuuid=667a361b-2da9-4c45-8d66-09c8b98015ec&amp;uri=https://images.diginfra.net/iiif/NL-HaNA_1.01.02/3858/NL-HaNA_1.01.02_3858_0266.jpg", "viewer_url")</f>
        <v>viewer_url</v>
      </c>
      <c r="U280" t="str">
        <f>HYPERLINK("https://images.diginfra.net/iiif/NL-HaNA_1.01.02/3858/NL-HaNA_1.01.02_3858_0266.jpg/3266,2319,1006,1075/full/0/default.jpg", "iiif_url")</f>
        <v>iiif_url</v>
      </c>
      <c r="V280" t="s">
        <v>33</v>
      </c>
      <c r="W280" t="s">
        <v>1246</v>
      </c>
      <c r="X280" t="str">
        <f>HYPERLINK("https://images.diginfra.net/framed3.html?imagesetuuid=667a361b-2da9-4c45-8d66-09c8b98015ec&amp;uri=https://images.diginfra.net/iiif/NL-HaNA_1.01.02/3858/NL-HaNA_1.01.02_3858_0264.jpg", "prev_meeting_viewer_url")</f>
        <v>prev_meeting_viewer_url</v>
      </c>
      <c r="Y280" t="str">
        <f>HYPERLINK("https://images.diginfra.net/iiif/NL-HaNA_1.01.02/3858/NL-HaNA_1.01.02_3858_0264.jpg/3260,2176,1020,1267/full/0/default.jpg", "prev_meeting_iiif_url")</f>
        <v>prev_meeting_iiif_url</v>
      </c>
      <c r="Z280" t="s">
        <v>33</v>
      </c>
      <c r="AA280" t="s">
        <v>1247</v>
      </c>
      <c r="AB280" t="str">
        <f>HYPERLINK("https://images.diginfra.net/framed3.html?imagesetuuid=667a361b-2da9-4c45-8d66-09c8b98015ec&amp;uri=https://images.diginfra.net/iiif/NL-HaNA_1.01.02/3858/NL-HaNA_1.01.02_3858_0267.jpg", "next_meeting_viewer_url")</f>
        <v>next_meeting_viewer_url</v>
      </c>
      <c r="AC280" t="str">
        <f>HYPERLINK("https://images.diginfra.net/iiif/NL-HaNA_1.01.02/3858/NL-HaNA_1.01.02_3858_0267.jpg/3319,2096,1011,1308/full/0/default.jpg", "next_meeting_iiif_url")</f>
        <v>next_meeting_iiif_url</v>
      </c>
    </row>
    <row r="281" spans="1:29" x14ac:dyDescent="0.2">
      <c r="A281" t="s">
        <v>1248</v>
      </c>
      <c r="B281" t="s">
        <v>63</v>
      </c>
      <c r="D281" t="b">
        <v>0</v>
      </c>
      <c r="E281" t="b">
        <v>0</v>
      </c>
      <c r="F281">
        <v>1</v>
      </c>
      <c r="I281" t="s">
        <v>1249</v>
      </c>
      <c r="J281">
        <v>3802</v>
      </c>
      <c r="K281">
        <v>177</v>
      </c>
      <c r="N281">
        <f t="shared" si="6"/>
        <v>354</v>
      </c>
      <c r="O281">
        <v>353</v>
      </c>
      <c r="P281">
        <v>0</v>
      </c>
      <c r="Q281">
        <v>1</v>
      </c>
      <c r="R281">
        <v>0</v>
      </c>
      <c r="S281" t="s">
        <v>33</v>
      </c>
      <c r="T281" t="str">
        <f>HYPERLINK("https://images.diginfra.net/framed3.html?imagesetuuid=42a0dd68-0122-4267-985e-43a657deae45&amp;uri=https://images.diginfra.net/iiif/NL-HaNA_1.01.02/3802/NL-HaNA_1.01.02_3802_0177.jpg", "viewer_url")</f>
        <v>viewer_url</v>
      </c>
      <c r="U281" t="str">
        <f>HYPERLINK("https://images.diginfra.net/iiif/NL-HaNA_1.01.02/3802/NL-HaNA_1.01.02_3802_0177.jpg/2462,2388,1078,1010/full/0/default.jpg", "iiif_url")</f>
        <v>iiif_url</v>
      </c>
      <c r="Z281" t="s">
        <v>33</v>
      </c>
      <c r="AA281" t="s">
        <v>1250</v>
      </c>
      <c r="AB281" t="str">
        <f>HYPERLINK("https://images.diginfra.net/framed3.html?imagesetuuid=42a0dd68-0122-4267-985e-43a657deae45&amp;uri=https://images.diginfra.net/iiif/NL-HaNA_1.01.02/3802/NL-HaNA_1.01.02_3802_0177.jpg", "next_meeting_viewer_url")</f>
        <v>next_meeting_viewer_url</v>
      </c>
      <c r="AC281" t="str">
        <f>HYPERLINK("https://images.diginfra.net/iiif/NL-HaNA_1.01.02/3802/NL-HaNA_1.01.02_3802_0177.jpg/2462,2388,1078,1010/full/0/default.jpg", "next_meeting_iiif_url")</f>
        <v>next_meeting_iiif_url</v>
      </c>
    </row>
    <row r="282" spans="1:29" x14ac:dyDescent="0.2">
      <c r="A282" t="s">
        <v>1251</v>
      </c>
      <c r="B282" t="s">
        <v>37</v>
      </c>
      <c r="C282" t="s">
        <v>1138</v>
      </c>
      <c r="D282" t="b">
        <v>1</v>
      </c>
      <c r="E282" t="b">
        <v>1</v>
      </c>
      <c r="F282">
        <v>1</v>
      </c>
      <c r="I282" t="s">
        <v>1252</v>
      </c>
      <c r="J282">
        <v>3818</v>
      </c>
      <c r="K282">
        <v>187</v>
      </c>
      <c r="L282">
        <v>253</v>
      </c>
      <c r="M282">
        <v>521</v>
      </c>
      <c r="N282">
        <f t="shared" si="6"/>
        <v>374</v>
      </c>
      <c r="O282">
        <v>372</v>
      </c>
      <c r="P282">
        <v>0</v>
      </c>
      <c r="Q282">
        <v>1</v>
      </c>
      <c r="R282">
        <v>0</v>
      </c>
      <c r="S282" t="s">
        <v>33</v>
      </c>
      <c r="T282" t="str">
        <f>HYPERLINK("https://images.diginfra.net/framed3.html?imagesetuuid=0a2b2b00-4d8f-4694-bcd4-866d49afa989&amp;uri=https://images.diginfra.net/iiif/NL-HaNA_1.01.02/3818/NL-HaNA_1.01.02_3818_0187.jpg", "viewer_url")</f>
        <v>viewer_url</v>
      </c>
      <c r="U282" t="str">
        <f>HYPERLINK("https://images.diginfra.net/iiif/NL-HaNA_1.01.02/3818/NL-HaNA_1.01.02_3818_0187.jpg/253,521,1094,2895/full/0/default.jpg", "iiif_url")</f>
        <v>iiif_url</v>
      </c>
      <c r="V282" t="s">
        <v>33</v>
      </c>
      <c r="W282" t="s">
        <v>1135</v>
      </c>
      <c r="X282" t="str">
        <f>HYPERLINK("https://images.diginfra.net/framed3.html?imagesetuuid=0a2b2b00-4d8f-4694-bcd4-866d49afa989&amp;uri=https://images.diginfra.net/iiif/NL-HaNA_1.01.02/3818/NL-HaNA_1.01.02_3818_0182.jpg", "prev_meeting_viewer_url")</f>
        <v>prev_meeting_viewer_url</v>
      </c>
      <c r="Y282" t="str">
        <f>HYPERLINK("https://images.diginfra.net/iiif/NL-HaNA_1.01.02/3818/NL-HaNA_1.01.02_3818_0182.jpg/1211,1033,1113,2337/full/0/default.jpg", "prev_meeting_iiif_url")</f>
        <v>prev_meeting_iiif_url</v>
      </c>
      <c r="Z282" t="s">
        <v>33</v>
      </c>
      <c r="AA282" t="s">
        <v>1253</v>
      </c>
      <c r="AB282" t="str">
        <f>HYPERLINK("https://images.diginfra.net/framed3.html?imagesetuuid=0a2b2b00-4d8f-4694-bcd4-866d49afa989&amp;uri=https://images.diginfra.net/iiif/NL-HaNA_1.01.02/3818/NL-HaNA_1.01.02_3818_0189.jpg", "next_meeting_viewer_url")</f>
        <v>next_meeting_viewer_url</v>
      </c>
      <c r="AC282" t="str">
        <f>HYPERLINK("https://images.diginfra.net/iiif/NL-HaNA_1.01.02/3818/NL-HaNA_1.01.02_3818_0189.jpg/1216,2178,1092,1243/full/0/default.jpg", "next_meeting_iiif_url")</f>
        <v>next_meeting_iiif_url</v>
      </c>
    </row>
    <row r="283" spans="1:29" x14ac:dyDescent="0.2">
      <c r="A283" t="s">
        <v>1254</v>
      </c>
      <c r="B283" t="s">
        <v>63</v>
      </c>
      <c r="D283" t="b">
        <v>0</v>
      </c>
      <c r="E283" t="b">
        <v>0</v>
      </c>
      <c r="F283">
        <v>1</v>
      </c>
      <c r="I283" t="s">
        <v>1255</v>
      </c>
      <c r="J283">
        <v>3796</v>
      </c>
      <c r="K283">
        <v>114</v>
      </c>
      <c r="N283">
        <f t="shared" si="6"/>
        <v>228</v>
      </c>
      <c r="O283">
        <v>226</v>
      </c>
      <c r="P283">
        <v>0</v>
      </c>
      <c r="Q283">
        <v>1</v>
      </c>
      <c r="R283">
        <v>0</v>
      </c>
      <c r="S283" t="s">
        <v>33</v>
      </c>
      <c r="T283" t="str">
        <f>HYPERLINK("https://images.diginfra.net/framed3.html?imagesetuuid=ece8f80b-0549-4e73-82ff-af47ed8525ac&amp;uri=https://images.diginfra.net/iiif/NL-HaNA_1.01.02/3796/NL-HaNA_1.01.02_3796_0114.jpg", "viewer_url")</f>
        <v>viewer_url</v>
      </c>
      <c r="U283" t="str">
        <f>HYPERLINK("https://images.diginfra.net/iiif/NL-HaNA_1.01.02/3796/NL-HaNA_1.01.02_3796_0114.jpg/382,450,1084,2946/full/0/default.jpg", "iiif_url")</f>
        <v>iiif_url</v>
      </c>
      <c r="V283" t="s">
        <v>33</v>
      </c>
      <c r="W283" t="s">
        <v>1256</v>
      </c>
      <c r="X283" t="str">
        <f>HYPERLINK("https://images.diginfra.net/framed3.html?imagesetuuid=ece8f80b-0549-4e73-82ff-af47ed8525ac&amp;uri=https://images.diginfra.net/iiif/NL-HaNA_1.01.02/3796/NL-HaNA_1.01.02_3796_0112.jpg", "prev_meeting_viewer_url")</f>
        <v>prev_meeting_viewer_url</v>
      </c>
      <c r="Y283" t="str">
        <f>HYPERLINK("https://images.diginfra.net/iiif/NL-HaNA_1.01.02/3796/NL-HaNA_1.01.02_3796_0112.jpg/3431,2479,1023,885/full/0/default.jpg", "prev_meeting_iiif_url")</f>
        <v>prev_meeting_iiif_url</v>
      </c>
      <c r="Z283" t="s">
        <v>33</v>
      </c>
      <c r="AA283" t="s">
        <v>292</v>
      </c>
      <c r="AB283" t="str">
        <f>HYPERLINK("https://images.diginfra.net/framed3.html?imagesetuuid=ece8f80b-0549-4e73-82ff-af47ed8525ac&amp;uri=https://images.diginfra.net/iiif/NL-HaNA_1.01.02/3796/NL-HaNA_1.01.02_3796_0114.jpg", "next_meeting_viewer_url")</f>
        <v>next_meeting_viewer_url</v>
      </c>
      <c r="AC283" t="str">
        <f>HYPERLINK("https://images.diginfra.net/iiif/NL-HaNA_1.01.02/3796/NL-HaNA_1.01.02_3796_0114.jpg/382,450,1084,2946/full/0/default.jpg", "next_meeting_iiif_url")</f>
        <v>next_meeting_iiif_url</v>
      </c>
    </row>
    <row r="284" spans="1:29" x14ac:dyDescent="0.2">
      <c r="A284" t="s">
        <v>1257</v>
      </c>
      <c r="B284" t="s">
        <v>79</v>
      </c>
      <c r="C284" t="s">
        <v>1258</v>
      </c>
      <c r="D284" t="b">
        <v>1</v>
      </c>
      <c r="E284" t="b">
        <v>1</v>
      </c>
      <c r="F284">
        <v>1</v>
      </c>
      <c r="I284" t="s">
        <v>1259</v>
      </c>
      <c r="J284">
        <v>3820</v>
      </c>
      <c r="K284">
        <v>217</v>
      </c>
      <c r="L284">
        <v>2317</v>
      </c>
      <c r="M284">
        <v>2035</v>
      </c>
      <c r="N284">
        <f t="shared" si="6"/>
        <v>434</v>
      </c>
      <c r="O284">
        <v>433</v>
      </c>
      <c r="P284">
        <v>0</v>
      </c>
      <c r="Q284">
        <v>1</v>
      </c>
      <c r="R284">
        <v>0</v>
      </c>
      <c r="S284" t="s">
        <v>33</v>
      </c>
      <c r="T284" t="str">
        <f>HYPERLINK("https://images.diginfra.net/framed3.html?imagesetuuid=06387344-f6be-4f89-be7c-57105578c47e&amp;uri=https://images.diginfra.net/iiif/NL-HaNA_1.01.02/3820/NL-HaNA_1.01.02_3820_0217.jpg", "viewer_url")</f>
        <v>viewer_url</v>
      </c>
      <c r="U284" t="str">
        <f>HYPERLINK("https://images.diginfra.net/iiif/NL-HaNA_1.01.02/3820/NL-HaNA_1.01.02_3820_0217.jpg/2317,2035,996,1299/full/0/default.jpg", "iiif_url")</f>
        <v>iiif_url</v>
      </c>
      <c r="Z284" t="s">
        <v>33</v>
      </c>
      <c r="AA284" t="s">
        <v>1260</v>
      </c>
      <c r="AB284" t="str">
        <f>HYPERLINK("https://images.diginfra.net/framed3.html?imagesetuuid=06387344-f6be-4f89-be7c-57105578c47e&amp;uri=https://images.diginfra.net/iiif/NL-HaNA_1.01.02/3820/NL-HaNA_1.01.02_3820_0218.jpg", "next_meeting_viewer_url")</f>
        <v>next_meeting_viewer_url</v>
      </c>
      <c r="AC284" t="str">
        <f>HYPERLINK("https://images.diginfra.net/iiif/NL-HaNA_1.01.02/3820/NL-HaNA_1.01.02_3820_0218.jpg/3233,2279,1036,1152/full/0/default.jpg", "next_meeting_iiif_url")</f>
        <v>next_meeting_iiif_url</v>
      </c>
    </row>
    <row r="285" spans="1:29" x14ac:dyDescent="0.2">
      <c r="A285" t="s">
        <v>1261</v>
      </c>
      <c r="B285" t="s">
        <v>79</v>
      </c>
      <c r="C285" t="s">
        <v>1262</v>
      </c>
      <c r="D285" t="b">
        <v>1</v>
      </c>
      <c r="E285" t="b">
        <v>1</v>
      </c>
      <c r="F285">
        <v>1</v>
      </c>
      <c r="I285" t="s">
        <v>1263</v>
      </c>
      <c r="J285">
        <v>3760</v>
      </c>
      <c r="K285">
        <v>613</v>
      </c>
      <c r="L285">
        <v>321</v>
      </c>
      <c r="M285">
        <v>915</v>
      </c>
      <c r="N285">
        <f t="shared" si="6"/>
        <v>1226</v>
      </c>
      <c r="O285">
        <v>1224</v>
      </c>
      <c r="P285">
        <v>0</v>
      </c>
      <c r="Q285">
        <v>1</v>
      </c>
      <c r="R285">
        <v>1</v>
      </c>
      <c r="S285" t="s">
        <v>33</v>
      </c>
      <c r="T285" t="str">
        <f>HYPERLINK("https://images.diginfra.net/framed3.html?imagesetuuid=dc1aea1e-5e7b-4d50-b913-c0d5902dbd85&amp;uri=https://images.diginfra.net/iiif/NL-HaNA_1.01.02/3760/NL-HaNA_1.01.02_3760_0613.jpg", "viewer_url")</f>
        <v>viewer_url</v>
      </c>
      <c r="U285" t="str">
        <f>HYPERLINK("https://images.diginfra.net/iiif/NL-HaNA_1.01.02/3760/NL-HaNA_1.01.02_3760_0613.jpg/321,915,1101,2436/full/0/default.jpg", "iiif_url")</f>
        <v>iiif_url</v>
      </c>
      <c r="V285" t="s">
        <v>33</v>
      </c>
      <c r="W285" t="s">
        <v>1264</v>
      </c>
      <c r="X285" t="str">
        <f>HYPERLINK("https://images.diginfra.net/framed3.html?imagesetuuid=dc1aea1e-5e7b-4d50-b913-c0d5902dbd85&amp;uri=https://images.diginfra.net/iiif/NL-HaNA_1.01.02/3760/NL-HaNA_1.01.02_3760_0612.jpg", "prev_meeting_viewer_url")</f>
        <v>prev_meeting_viewer_url</v>
      </c>
      <c r="Y285" t="str">
        <f>HYPERLINK("https://images.diginfra.net/iiif/NL-HaNA_1.01.02/3760/NL-HaNA_1.01.02_3760_0612.jpg/1292,2485,1047,835/full/0/default.jpg", "prev_meeting_iiif_url")</f>
        <v>prev_meeting_iiif_url</v>
      </c>
      <c r="Z285" t="s">
        <v>33</v>
      </c>
      <c r="AA285" t="s">
        <v>1265</v>
      </c>
      <c r="AB285" t="str">
        <f>HYPERLINK("https://images.diginfra.net/framed3.html?imagesetuuid=dc1aea1e-5e7b-4d50-b913-c0d5902dbd85&amp;uri=https://images.diginfra.net/iiif/NL-HaNA_1.01.02/3760/NL-HaNA_1.01.02_3760_0617.jpg", "next_meeting_viewer_url")</f>
        <v>next_meeting_viewer_url</v>
      </c>
      <c r="AC285" t="str">
        <f>HYPERLINK("https://images.diginfra.net/iiif/NL-HaNA_1.01.02/3760/NL-HaNA_1.01.02_3760_0617.jpg/331,804,1104,2582/full/0/default.jpg", "next_meeting_iiif_url")</f>
        <v>next_meeting_iiif_url</v>
      </c>
    </row>
    <row r="286" spans="1:29" x14ac:dyDescent="0.2">
      <c r="A286" t="s">
        <v>1266</v>
      </c>
      <c r="B286" t="s">
        <v>59</v>
      </c>
      <c r="D286" t="b">
        <v>1</v>
      </c>
      <c r="E286" t="b">
        <v>1</v>
      </c>
      <c r="F286">
        <v>1</v>
      </c>
      <c r="I286" t="s">
        <v>1267</v>
      </c>
      <c r="J286">
        <v>3781</v>
      </c>
      <c r="K286">
        <v>475</v>
      </c>
      <c r="L286">
        <v>3435</v>
      </c>
      <c r="M286">
        <v>723</v>
      </c>
      <c r="N286">
        <f t="shared" si="6"/>
        <v>950</v>
      </c>
      <c r="O286">
        <v>949</v>
      </c>
      <c r="P286">
        <v>1</v>
      </c>
      <c r="Q286">
        <v>1</v>
      </c>
      <c r="R286">
        <v>1</v>
      </c>
      <c r="S286" t="s">
        <v>33</v>
      </c>
      <c r="T286" t="str">
        <f>HYPERLINK("https://images.diginfra.net/framed3.html?imagesetuuid=7806433b-7f26-4d4e-8e76-37d108a188de&amp;uri=https://images.diginfra.net/iiif/NL-HaNA_1.01.02/3781/NL-HaNA_1.01.02_3781_0475.jpg", "viewer_url")</f>
        <v>viewer_url</v>
      </c>
      <c r="U286" t="str">
        <f>HYPERLINK("https://images.diginfra.net/iiif/NL-HaNA_1.01.02/3781/NL-HaNA_1.01.02_3781_0475.jpg/3435,723,1133,2713/full/0/default.jpg", "iiif_url")</f>
        <v>iiif_url</v>
      </c>
      <c r="V286" t="s">
        <v>33</v>
      </c>
      <c r="W286" t="s">
        <v>1268</v>
      </c>
      <c r="X286" t="str">
        <f>HYPERLINK("https://images.diginfra.net/framed3.html?imagesetuuid=7806433b-7f26-4d4e-8e76-37d108a188de&amp;uri=https://images.diginfra.net/iiif/NL-HaNA_1.01.02/3781/NL-HaNA_1.01.02_3781_0474.jpg", "prev_meeting_viewer_url")</f>
        <v>prev_meeting_viewer_url</v>
      </c>
      <c r="Y286" t="str">
        <f>HYPERLINK("https://images.diginfra.net/iiif/NL-HaNA_1.01.02/3781/NL-HaNA_1.01.02_3781_0474.jpg/3420,1151,1111,2256/full/0/default.jpg", "prev_meeting_iiif_url")</f>
        <v>prev_meeting_iiif_url</v>
      </c>
      <c r="Z286" t="s">
        <v>44</v>
      </c>
      <c r="AA286" t="s">
        <v>1269</v>
      </c>
      <c r="AB286" t="str">
        <f>HYPERLINK("https://images.diginfra.net/framed3.html?imagesetuuid=7806433b-7f26-4d4e-8e76-37d108a188de&amp;uri=https://images.diginfra.net/iiif/NL-HaNA_1.01.02/3781/NL-HaNA_1.01.02_3781_0477.jpg", "next_meeting_viewer_url")</f>
        <v>next_meeting_viewer_url</v>
      </c>
      <c r="AC286" t="str">
        <f>HYPERLINK("https://images.diginfra.net/iiif/NL-HaNA_1.01.02/3781/NL-HaNA_1.01.02_3781_0477.jpg/417,2556,1038,889/full/0/default.jpg", "next_meeting_iiif_url")</f>
        <v>next_meeting_iiif_url</v>
      </c>
    </row>
    <row r="287" spans="1:29" x14ac:dyDescent="0.2">
      <c r="A287" t="s">
        <v>1270</v>
      </c>
      <c r="B287" t="s">
        <v>63</v>
      </c>
      <c r="D287" t="b">
        <v>0</v>
      </c>
      <c r="E287" t="b">
        <v>0</v>
      </c>
      <c r="F287">
        <v>1</v>
      </c>
      <c r="G287">
        <v>1</v>
      </c>
      <c r="I287" t="s">
        <v>1271</v>
      </c>
      <c r="J287">
        <v>3813</v>
      </c>
      <c r="K287">
        <v>271</v>
      </c>
      <c r="N287">
        <f t="shared" si="6"/>
        <v>542</v>
      </c>
      <c r="O287">
        <v>541</v>
      </c>
      <c r="P287">
        <v>1</v>
      </c>
      <c r="Q287">
        <v>1</v>
      </c>
      <c r="R287">
        <v>0</v>
      </c>
      <c r="S287" t="s">
        <v>33</v>
      </c>
      <c r="T287" t="str">
        <f>HYPERLINK("https://images.diginfra.net/framed3.html?imagesetuuid=19a3f39b-117a-4ab7-b45b-5e134b099649&amp;uri=https://images.diginfra.net/iiif/NL-HaNA_1.01.02/3813/NL-HaNA_1.01.02_3813_0271.jpg", "viewer_url")</f>
        <v>viewer_url</v>
      </c>
      <c r="U287" t="str">
        <f>HYPERLINK("https://images.diginfra.net/iiif/NL-HaNA_1.01.02/3813/NL-HaNA_1.01.02_3813_0271.jpg/3487,827,1108,2519/full/0/default.jpg", "iiif_url")</f>
        <v>iiif_url</v>
      </c>
      <c r="V287" t="s">
        <v>33</v>
      </c>
      <c r="W287" t="s">
        <v>1272</v>
      </c>
      <c r="X287" t="str">
        <f>HYPERLINK("https://images.diginfra.net/framed3.html?imagesetuuid=19a3f39b-117a-4ab7-b45b-5e134b099649&amp;uri=https://images.diginfra.net/iiif/NL-HaNA_1.01.02/3813/NL-HaNA_1.01.02_3813_0269.jpg", "prev_meeting_viewer_url")</f>
        <v>prev_meeting_viewer_url</v>
      </c>
      <c r="Y287" t="str">
        <f>HYPERLINK("https://images.diginfra.net/iiif/NL-HaNA_1.01.02/3813/NL-HaNA_1.01.02_3813_0269.jpg/3483,1751,1091,1580/full/0/default.jpg", "prev_meeting_iiif_url")</f>
        <v>prev_meeting_iiif_url</v>
      </c>
      <c r="Z287" t="s">
        <v>33</v>
      </c>
      <c r="AA287" t="s">
        <v>1273</v>
      </c>
      <c r="AB287" t="str">
        <f>HYPERLINK("https://images.diginfra.net/framed3.html?imagesetuuid=19a3f39b-117a-4ab7-b45b-5e134b099649&amp;uri=https://images.diginfra.net/iiif/NL-HaNA_1.01.02/3813/NL-HaNA_1.01.02_3813_0271.jpg", "next_meeting_viewer_url")</f>
        <v>next_meeting_viewer_url</v>
      </c>
      <c r="AC287" t="str">
        <f>HYPERLINK("https://images.diginfra.net/iiif/NL-HaNA_1.01.02/3813/NL-HaNA_1.01.02_3813_0271.jpg/3487,827,1108,2519/full/0/default.jpg", "next_meeting_iiif_url")</f>
        <v>next_meeting_iiif_url</v>
      </c>
    </row>
    <row r="288" spans="1:29" x14ac:dyDescent="0.2">
      <c r="A288" t="s">
        <v>1274</v>
      </c>
      <c r="B288" t="s">
        <v>79</v>
      </c>
      <c r="D288" t="b">
        <v>0</v>
      </c>
      <c r="E288" t="b">
        <v>0</v>
      </c>
      <c r="F288">
        <v>0</v>
      </c>
      <c r="G288">
        <v>1</v>
      </c>
      <c r="H288" t="s">
        <v>1275</v>
      </c>
      <c r="J288">
        <v>3765</v>
      </c>
      <c r="K288">
        <v>299</v>
      </c>
      <c r="N288">
        <f t="shared" si="6"/>
        <v>598</v>
      </c>
      <c r="O288">
        <v>597</v>
      </c>
      <c r="P288">
        <v>0</v>
      </c>
      <c r="T288" t="str">
        <f>HYPERLINK("None", "viewer_url")</f>
        <v>viewer_url</v>
      </c>
      <c r="U288" t="str">
        <f>HYPERLINK("None", "iiif_url")</f>
        <v>iiif_url</v>
      </c>
      <c r="V288" t="s">
        <v>44</v>
      </c>
      <c r="W288" t="s">
        <v>1276</v>
      </c>
      <c r="X288" t="str">
        <f>HYPERLINK("https://images.diginfra.net/framed3.html?imagesetuuid=4dfc1a1b-8cdf-4492-b411-5e67950ce484&amp;uri=https://images.diginfra.net/iiif/NL-HaNA_1.01.02/3765/NL-HaNA_1.01.02_3765_0297.jpg", "prev_meeting_viewer_url")</f>
        <v>prev_meeting_viewer_url</v>
      </c>
      <c r="Y288" t="str">
        <f>HYPERLINK("https://images.diginfra.net/iiif/NL-HaNA_1.01.02/3765/NL-HaNA_1.01.02_3765_0297.jpg/2569,3048,740,310/full/0/default.jpg", "prev_meeting_iiif_url")</f>
        <v>prev_meeting_iiif_url</v>
      </c>
      <c r="Z288" t="s">
        <v>33</v>
      </c>
      <c r="AA288" t="s">
        <v>1277</v>
      </c>
      <c r="AB288" t="str">
        <f>HYPERLINK("https://images.diginfra.net/framed3.html?imagesetuuid=4dfc1a1b-8cdf-4492-b411-5e67950ce484&amp;uri=https://images.diginfra.net/iiif/NL-HaNA_1.01.02/3765/NL-HaNA_1.01.02_3765_0299.jpg", "next_meeting_viewer_url")</f>
        <v>next_meeting_viewer_url</v>
      </c>
      <c r="AC288" t="str">
        <f>HYPERLINK("https://images.diginfra.net/iiif/NL-HaNA_1.01.02/3765/NL-HaNA_1.01.02_3765_0299.jpg/2440,2261,1045,1109/full/0/default.jpg", "next_meeting_iiif_url")</f>
        <v>next_meeting_iiif_url</v>
      </c>
    </row>
    <row r="289" spans="1:29" x14ac:dyDescent="0.2">
      <c r="A289" t="s">
        <v>1278</v>
      </c>
      <c r="B289" t="s">
        <v>63</v>
      </c>
      <c r="D289" t="b">
        <v>0</v>
      </c>
      <c r="E289" t="b">
        <v>0</v>
      </c>
      <c r="F289">
        <v>1</v>
      </c>
      <c r="G289">
        <v>1</v>
      </c>
      <c r="I289" t="s">
        <v>1279</v>
      </c>
      <c r="J289">
        <v>3822</v>
      </c>
      <c r="K289">
        <v>364</v>
      </c>
      <c r="N289">
        <f t="shared" si="6"/>
        <v>728</v>
      </c>
      <c r="O289">
        <v>727</v>
      </c>
      <c r="P289">
        <v>0</v>
      </c>
      <c r="Q289">
        <v>0</v>
      </c>
      <c r="R289">
        <v>0</v>
      </c>
      <c r="S289" t="s">
        <v>33</v>
      </c>
      <c r="T289" t="str">
        <f>HYPERLINK("https://images.diginfra.net/framed3.html?imagesetuuid=e0965315-891d-46c1-9dac-fc6b729921cf&amp;uri=https://images.diginfra.net/iiif/NL-HaNA_1.01.02/3822/NL-HaNA_1.01.02_3822_0364.jpg", "viewer_url")</f>
        <v>viewer_url</v>
      </c>
      <c r="U289" t="str">
        <f>HYPERLINK("https://images.diginfra.net/iiif/NL-HaNA_1.01.02/3822/NL-HaNA_1.01.02_3822_0364.jpg/3199,285,1103,3088/full/0/default.jpg", "iiif_url")</f>
        <v>iiif_url</v>
      </c>
      <c r="V289" t="s">
        <v>33</v>
      </c>
      <c r="W289" t="s">
        <v>1280</v>
      </c>
      <c r="X289" t="str">
        <f>HYPERLINK("https://images.diginfra.net/framed3.html?imagesetuuid=e0965315-891d-46c1-9dac-fc6b729921cf&amp;uri=https://images.diginfra.net/iiif/NL-HaNA_1.01.02/3822/NL-HaNA_1.01.02_3822_0364.jpg", "prev_meeting_viewer_url")</f>
        <v>prev_meeting_viewer_url</v>
      </c>
      <c r="Y289" t="str">
        <f>HYPERLINK("https://images.diginfra.net/iiif/NL-HaNA_1.01.02/3822/NL-HaNA_1.01.02_3822_0364.jpg/256,1631,1053,1613/full/0/default.jpg", "prev_meeting_iiif_url")</f>
        <v>prev_meeting_iiif_url</v>
      </c>
      <c r="Z289" t="s">
        <v>33</v>
      </c>
      <c r="AA289" t="s">
        <v>1281</v>
      </c>
      <c r="AB289" t="str">
        <f>HYPERLINK("https://images.diginfra.net/framed3.html?imagesetuuid=e0965315-891d-46c1-9dac-fc6b729921cf&amp;uri=https://images.diginfra.net/iiif/NL-HaNA_1.01.02/3822/NL-HaNA_1.01.02_3822_0364.jpg", "next_meeting_viewer_url")</f>
        <v>next_meeting_viewer_url</v>
      </c>
      <c r="AC289" t="str">
        <f>HYPERLINK("https://images.diginfra.net/iiif/NL-HaNA_1.01.02/3822/NL-HaNA_1.01.02_3822_0364.jpg/3199,285,1103,3088/full/0/default.jpg", "next_meeting_iiif_url")</f>
        <v>next_meeting_iiif_url</v>
      </c>
    </row>
    <row r="290" spans="1:29" x14ac:dyDescent="0.2">
      <c r="A290" t="s">
        <v>1282</v>
      </c>
      <c r="B290" t="s">
        <v>59</v>
      </c>
      <c r="D290" t="b">
        <v>0</v>
      </c>
      <c r="E290" t="b">
        <v>0</v>
      </c>
      <c r="F290">
        <v>1</v>
      </c>
      <c r="G290">
        <v>1</v>
      </c>
      <c r="I290" t="s">
        <v>1283</v>
      </c>
      <c r="J290">
        <v>3814</v>
      </c>
      <c r="K290">
        <v>385</v>
      </c>
      <c r="N290">
        <f t="shared" si="6"/>
        <v>770</v>
      </c>
      <c r="O290">
        <v>768</v>
      </c>
      <c r="P290">
        <v>1</v>
      </c>
      <c r="Q290">
        <v>1</v>
      </c>
      <c r="R290">
        <v>30</v>
      </c>
      <c r="S290" t="s">
        <v>33</v>
      </c>
      <c r="T290" t="str">
        <f>HYPERLINK("https://images.diginfra.net/framed3.html?imagesetuuid=a95427fd-d131-4f1b-a2ee-069d038f458a&amp;uri=https://images.diginfra.net/iiif/NL-HaNA_1.01.02/3814/NL-HaNA_1.01.02_3814_0385.jpg", "viewer_url")</f>
        <v>viewer_url</v>
      </c>
      <c r="U290" t="str">
        <f>HYPERLINK("https://images.diginfra.net/iiif/NL-HaNA_1.01.02/3814/NL-HaNA_1.01.02_3814_0385.jpg/1282,2455,1049,837/full/0/default.jpg", "iiif_url")</f>
        <v>iiif_url</v>
      </c>
      <c r="V290" t="s">
        <v>33</v>
      </c>
      <c r="W290" t="s">
        <v>1284</v>
      </c>
      <c r="X290" t="str">
        <f>HYPERLINK("https://images.diginfra.net/framed3.html?imagesetuuid=a95427fd-d131-4f1b-a2ee-069d038f458a&amp;uri=https://images.diginfra.net/iiif/NL-HaNA_1.01.02/3814/NL-HaNA_1.01.02_3814_0384.jpg", "prev_meeting_viewer_url")</f>
        <v>prev_meeting_viewer_url</v>
      </c>
      <c r="Y290" t="str">
        <f>HYPERLINK("https://images.diginfra.net/iiif/NL-HaNA_1.01.02/3814/NL-HaNA_1.01.02_3814_0384.jpg/1226,1105,1100,2196/full/0/default.jpg", "prev_meeting_iiif_url")</f>
        <v>prev_meeting_iiif_url</v>
      </c>
      <c r="Z290" t="s">
        <v>33</v>
      </c>
      <c r="AA290" t="s">
        <v>1285</v>
      </c>
      <c r="AB290" t="str">
        <f>HYPERLINK("https://images.diginfra.net/framed3.html?imagesetuuid=a95427fd-d131-4f1b-a2ee-069d038f458a&amp;uri=https://images.diginfra.net/iiif/NL-HaNA_1.01.02/3814/NL-HaNA_1.01.02_3814_0385.jpg", "next_meeting_viewer_url")</f>
        <v>next_meeting_viewer_url</v>
      </c>
      <c r="AC290" t="str">
        <f>HYPERLINK("https://images.diginfra.net/iiif/NL-HaNA_1.01.02/3814/NL-HaNA_1.01.02_3814_0385.jpg/1282,2455,1049,837/full/0/default.jpg", "next_meeting_iiif_url")</f>
        <v>next_meeting_iiif_url</v>
      </c>
    </row>
    <row r="291" spans="1:29" x14ac:dyDescent="0.2">
      <c r="A291" t="s">
        <v>1286</v>
      </c>
      <c r="B291" t="s">
        <v>79</v>
      </c>
      <c r="C291" t="s">
        <v>1287</v>
      </c>
      <c r="D291" t="b">
        <v>1</v>
      </c>
      <c r="E291" t="b">
        <v>1</v>
      </c>
      <c r="F291">
        <v>1</v>
      </c>
      <c r="I291" t="s">
        <v>1288</v>
      </c>
      <c r="J291">
        <v>3801</v>
      </c>
      <c r="K291">
        <v>286</v>
      </c>
      <c r="L291">
        <v>406</v>
      </c>
      <c r="M291">
        <v>2580</v>
      </c>
      <c r="N291">
        <f t="shared" si="6"/>
        <v>572</v>
      </c>
      <c r="O291">
        <v>570</v>
      </c>
      <c r="P291">
        <v>0</v>
      </c>
      <c r="Q291">
        <v>1</v>
      </c>
      <c r="R291">
        <v>0</v>
      </c>
      <c r="S291" t="s">
        <v>33</v>
      </c>
      <c r="T291" t="str">
        <f>HYPERLINK("https://images.diginfra.net/framed3.html?imagesetuuid=f36c8416-59a8-4b1a-a82a-ef225cbd1971&amp;uri=https://images.diginfra.net/iiif/NL-HaNA_1.01.02/3801/NL-HaNA_1.01.02_3801_0286.jpg", "viewer_url")</f>
        <v>viewer_url</v>
      </c>
      <c r="U291" t="str">
        <f>HYPERLINK("https://images.diginfra.net/iiif/NL-HaNA_1.01.02/3801/NL-HaNA_1.01.02_3801_0286.jpg/406,2580,1037,765/full/0/default.jpg", "iiif_url")</f>
        <v>iiif_url</v>
      </c>
      <c r="V291" t="s">
        <v>33</v>
      </c>
      <c r="W291" t="s">
        <v>1289</v>
      </c>
      <c r="X291" t="str">
        <f>HYPERLINK("https://images.diginfra.net/framed3.html?imagesetuuid=f36c8416-59a8-4b1a-a82a-ef225cbd1971&amp;uri=https://images.diginfra.net/iiif/NL-HaNA_1.01.02/3801/NL-HaNA_1.01.02_3801_0284.jpg", "prev_meeting_viewer_url")</f>
        <v>prev_meeting_viewer_url</v>
      </c>
      <c r="Y291" t="str">
        <f>HYPERLINK("https://images.diginfra.net/iiif/NL-HaNA_1.01.02/3801/NL-HaNA_1.01.02_3801_0284.jpg/3430,1184,1105,2254/full/0/default.jpg", "prev_meeting_iiif_url")</f>
        <v>prev_meeting_iiif_url</v>
      </c>
      <c r="Z291" t="s">
        <v>33</v>
      </c>
      <c r="AA291" t="s">
        <v>1290</v>
      </c>
      <c r="AB291" t="str">
        <f>HYPERLINK("https://images.diginfra.net/framed3.html?imagesetuuid=f36c8416-59a8-4b1a-a82a-ef225cbd1971&amp;uri=https://images.diginfra.net/iiif/NL-HaNA_1.01.02/3801/NL-HaNA_1.01.02_3801_0286.jpg", "next_meeting_viewer_url")</f>
        <v>next_meeting_viewer_url</v>
      </c>
      <c r="AC291" t="str">
        <f>HYPERLINK("https://images.diginfra.net/iiif/NL-HaNA_1.01.02/3801/NL-HaNA_1.01.02_3801_0286.jpg/3510,2204,1046,1175/full/0/default.jpg", "next_meeting_iiif_url")</f>
        <v>next_meeting_iiif_url</v>
      </c>
    </row>
    <row r="292" spans="1:29" x14ac:dyDescent="0.2">
      <c r="A292" t="s">
        <v>1291</v>
      </c>
      <c r="B292" t="s">
        <v>85</v>
      </c>
      <c r="C292" t="s">
        <v>1292</v>
      </c>
      <c r="D292" t="b">
        <v>1</v>
      </c>
      <c r="E292" t="b">
        <v>1</v>
      </c>
      <c r="F292">
        <v>1</v>
      </c>
      <c r="I292" t="s">
        <v>1293</v>
      </c>
      <c r="J292">
        <v>3791</v>
      </c>
      <c r="K292">
        <v>202</v>
      </c>
      <c r="L292">
        <v>1246</v>
      </c>
      <c r="M292">
        <v>2849</v>
      </c>
      <c r="N292">
        <f t="shared" si="6"/>
        <v>404</v>
      </c>
      <c r="O292">
        <v>402</v>
      </c>
      <c r="P292">
        <v>1</v>
      </c>
      <c r="Q292">
        <v>1</v>
      </c>
      <c r="R292">
        <v>0</v>
      </c>
      <c r="S292" t="s">
        <v>33</v>
      </c>
      <c r="T292" t="str">
        <f>HYPERLINK("https://images.diginfra.net/framed3.html?imagesetuuid=e5198992-3bac-4cce-bc59-b70724ee426a&amp;uri=https://images.diginfra.net/iiif/NL-HaNA_1.01.02/3791/NL-HaNA_1.01.02_3791_0202.jpg", "viewer_url")</f>
        <v>viewer_url</v>
      </c>
      <c r="U292" t="str">
        <f>HYPERLINK("https://images.diginfra.net/iiif/NL-HaNA_1.01.02/3791/NL-HaNA_1.01.02_3791_0202.jpg/1246,2849,1039,609/full/0/default.jpg", "iiif_url")</f>
        <v>iiif_url</v>
      </c>
      <c r="V292" t="s">
        <v>33</v>
      </c>
      <c r="W292" t="s">
        <v>1294</v>
      </c>
      <c r="X292" t="str">
        <f>HYPERLINK("https://images.diginfra.net/framed3.html?imagesetuuid=e5198992-3bac-4cce-bc59-b70724ee426a&amp;uri=https://images.diginfra.net/iiif/NL-HaNA_1.01.02/3791/NL-HaNA_1.01.02_3791_0201.jpg", "prev_meeting_viewer_url")</f>
        <v>prev_meeting_viewer_url</v>
      </c>
      <c r="Y292" t="str">
        <f>HYPERLINK("https://images.diginfra.net/iiif/NL-HaNA_1.01.02/3791/NL-HaNA_1.01.02_3791_0201.jpg/3384,2819,1001,570/full/0/default.jpg", "prev_meeting_iiif_url")</f>
        <v>prev_meeting_iiif_url</v>
      </c>
      <c r="Z292" t="s">
        <v>33</v>
      </c>
      <c r="AA292" t="s">
        <v>1295</v>
      </c>
      <c r="AB292" t="str">
        <f>HYPERLINK("https://images.diginfra.net/framed3.html?imagesetuuid=e5198992-3bac-4cce-bc59-b70724ee426a&amp;uri=https://images.diginfra.net/iiif/NL-HaNA_1.01.02/3791/NL-HaNA_1.01.02_3791_0203.jpg", "next_meeting_viewer_url")</f>
        <v>next_meeting_viewer_url</v>
      </c>
      <c r="AC292" t="str">
        <f>HYPERLINK("https://images.diginfra.net/iiif/NL-HaNA_1.01.02/3791/NL-HaNA_1.01.02_3791_0203.jpg/2402,1787,1082,1603/full/0/default.jpg", "next_meeting_iiif_url")</f>
        <v>next_meeting_iiif_url</v>
      </c>
    </row>
    <row r="293" spans="1:29" x14ac:dyDescent="0.2">
      <c r="A293" t="s">
        <v>1296</v>
      </c>
      <c r="B293" t="s">
        <v>59</v>
      </c>
      <c r="D293" t="b">
        <v>1</v>
      </c>
      <c r="E293" t="b">
        <v>1</v>
      </c>
      <c r="F293">
        <v>1</v>
      </c>
      <c r="J293">
        <v>3787</v>
      </c>
      <c r="K293">
        <v>87</v>
      </c>
      <c r="L293">
        <v>2497</v>
      </c>
      <c r="M293">
        <v>447</v>
      </c>
      <c r="N293">
        <f t="shared" si="6"/>
        <v>174</v>
      </c>
      <c r="O293">
        <v>173</v>
      </c>
      <c r="P293">
        <v>0</v>
      </c>
      <c r="T293" t="str">
        <f>HYPERLINK("None", "viewer_url")</f>
        <v>viewer_url</v>
      </c>
      <c r="U293" t="str">
        <f>HYPERLINK("https://images.diginfra.net/iiif/NL-HaNA_1.01.02/3787/NL-HaNA_1.01.02_3787_0087.jpg/2497,447,897,2908/full/0/default.jpg", "iiif_url")</f>
        <v>iiif_url</v>
      </c>
      <c r="V293" t="s">
        <v>44</v>
      </c>
      <c r="X293" t="str">
        <f>HYPERLINK("https://images.diginfra.net/framed3.html?imagesetuuid=db7b00f7-0cd1-4078-9123-41ccf17bd821&amp;uri=https://images.diginfra.net/iiif/NL-HaNA_1.01.02/3787/NL-HaNA_1.01.02_3787_0087.jpg", "prev_meeting_viewer_url")</f>
        <v>prev_meeting_viewer_url</v>
      </c>
      <c r="Y293" t="str">
        <f>HYPERLINK("https://images.diginfra.net/iiif/NL-HaNA_1.01.02/3787/NL-HaNA_1.01.02_3787_0087.jpg/2398,413,1082,3047/full/0/default.jpg", "prev_meeting_iiif_url")</f>
        <v>prev_meeting_iiif_url</v>
      </c>
      <c r="Z293" t="s">
        <v>33</v>
      </c>
      <c r="AA293" t="s">
        <v>1297</v>
      </c>
      <c r="AB293" t="str">
        <f>HYPERLINK("https://images.diginfra.net/framed3.html?imagesetuuid=db7b00f7-0cd1-4078-9123-41ccf17bd821&amp;uri=https://images.diginfra.net/iiif/NL-HaNA_1.01.02/3787/NL-HaNA_1.01.02_3787_0090.jpg", "next_meeting_viewer_url")</f>
        <v>next_meeting_viewer_url</v>
      </c>
      <c r="AC293" t="str">
        <f>HYPERLINK("https://images.diginfra.net/iiif/NL-HaNA_1.01.02/3787/NL-HaNA_1.01.02_3787_0090.jpg/289,338,1086,3111/full/0/default.jpg", "next_meeting_iiif_url")</f>
        <v>next_meeting_iiif_url</v>
      </c>
    </row>
    <row r="294" spans="1:29" x14ac:dyDescent="0.2">
      <c r="A294" t="s">
        <v>1298</v>
      </c>
      <c r="B294" t="s">
        <v>59</v>
      </c>
      <c r="C294" t="s">
        <v>1299</v>
      </c>
      <c r="D294" t="b">
        <v>1</v>
      </c>
      <c r="E294" t="b">
        <v>1</v>
      </c>
      <c r="F294">
        <v>1</v>
      </c>
      <c r="I294" t="s">
        <v>1300</v>
      </c>
      <c r="J294">
        <v>3771</v>
      </c>
      <c r="K294">
        <v>38</v>
      </c>
      <c r="L294">
        <v>2489</v>
      </c>
      <c r="M294">
        <v>607</v>
      </c>
      <c r="N294">
        <f t="shared" si="6"/>
        <v>76</v>
      </c>
      <c r="O294">
        <v>75</v>
      </c>
      <c r="P294">
        <v>0</v>
      </c>
      <c r="Q294">
        <v>1</v>
      </c>
      <c r="R294">
        <v>0</v>
      </c>
      <c r="S294" t="s">
        <v>33</v>
      </c>
      <c r="T294" t="str">
        <f>HYPERLINK("https://images.diginfra.net/framed3.html?imagesetuuid=16b7bf4c-5e05-4e5e-b109-cf178ead6c3f&amp;uri=https://images.diginfra.net/iiif/NL-HaNA_1.01.02/3771/NL-HaNA_1.01.02_3771_0038.jpg", "viewer_url")</f>
        <v>viewer_url</v>
      </c>
      <c r="U294" t="str">
        <f>HYPERLINK("https://images.diginfra.net/iiif/NL-HaNA_1.01.02/3771/NL-HaNA_1.01.02_3771_0038.jpg/2489,607,1095,2823/full/0/default.jpg", "iiif_url")</f>
        <v>iiif_url</v>
      </c>
      <c r="V294" t="s">
        <v>33</v>
      </c>
      <c r="W294" t="s">
        <v>1301</v>
      </c>
      <c r="X294" t="str">
        <f>HYPERLINK("https://images.diginfra.net/framed3.html?imagesetuuid=16b7bf4c-5e05-4e5e-b109-cf178ead6c3f&amp;uri=https://images.diginfra.net/iiif/NL-HaNA_1.01.02/3771/NL-HaNA_1.01.02_3771_0036.jpg", "prev_meeting_viewer_url")</f>
        <v>prev_meeting_viewer_url</v>
      </c>
      <c r="Y294" t="str">
        <f>HYPERLINK("https://images.diginfra.net/iiif/NL-HaNA_1.01.02/3771/NL-HaNA_1.01.02_3771_0036.jpg/2549,2375,1048,1114/full/0/default.jpg", "prev_meeting_iiif_url")</f>
        <v>prev_meeting_iiif_url</v>
      </c>
      <c r="Z294" t="s">
        <v>33</v>
      </c>
      <c r="AA294" t="s">
        <v>1302</v>
      </c>
      <c r="AB294" t="str">
        <f>HYPERLINK("https://images.diginfra.net/framed3.html?imagesetuuid=16b7bf4c-5e05-4e5e-b109-cf178ead6c3f&amp;uri=https://images.diginfra.net/iiif/NL-HaNA_1.01.02/3771/NL-HaNA_1.01.02_3771_0042.jpg", "next_meeting_viewer_url")</f>
        <v>next_meeting_viewer_url</v>
      </c>
      <c r="AC294" t="str">
        <f>HYPERLINK("https://images.diginfra.net/iiif/NL-HaNA_1.01.02/3771/NL-HaNA_1.01.02_3771_0042.jpg/259,319,1086,3123/full/0/default.jpg", "next_meeting_iiif_url")</f>
        <v>next_meeting_iiif_url</v>
      </c>
    </row>
    <row r="295" spans="1:29" x14ac:dyDescent="0.2">
      <c r="A295" t="s">
        <v>1303</v>
      </c>
      <c r="B295" t="s">
        <v>79</v>
      </c>
      <c r="C295" t="s">
        <v>1304</v>
      </c>
      <c r="D295" t="b">
        <v>1</v>
      </c>
      <c r="E295" t="b">
        <v>1</v>
      </c>
      <c r="F295">
        <v>1</v>
      </c>
      <c r="I295" t="s">
        <v>1305</v>
      </c>
      <c r="J295">
        <v>3830</v>
      </c>
      <c r="K295">
        <v>201</v>
      </c>
      <c r="L295">
        <v>260</v>
      </c>
      <c r="M295">
        <v>959</v>
      </c>
      <c r="N295">
        <f t="shared" si="6"/>
        <v>402</v>
      </c>
      <c r="O295">
        <v>400</v>
      </c>
      <c r="P295">
        <v>0</v>
      </c>
      <c r="Q295">
        <v>0</v>
      </c>
      <c r="R295">
        <v>20</v>
      </c>
      <c r="S295" t="s">
        <v>33</v>
      </c>
      <c r="T295" t="str">
        <f>HYPERLINK("https://images.diginfra.net/framed3.html?imagesetuuid=c4957ef5-1023-495b-ad5d-bfab5967cb29&amp;uri=https://images.diginfra.net/iiif/NL-HaNA_1.01.02/3830/NL-HaNA_1.01.02_3830_0201.jpg", "viewer_url")</f>
        <v>viewer_url</v>
      </c>
      <c r="U295" t="str">
        <f>HYPERLINK("https://images.diginfra.net/iiif/NL-HaNA_1.01.02/3830/NL-HaNA_1.01.02_3830_0201.jpg/260,959,1093,2395/full/0/default.jpg", "iiif_url")</f>
        <v>iiif_url</v>
      </c>
      <c r="V295" t="s">
        <v>33</v>
      </c>
      <c r="W295" t="s">
        <v>1306</v>
      </c>
      <c r="X295" t="str">
        <f>HYPERLINK("https://images.diginfra.net/framed3.html?imagesetuuid=c4957ef5-1023-495b-ad5d-bfab5967cb29&amp;uri=https://images.diginfra.net/iiif/NL-HaNA_1.01.02/3830/NL-HaNA_1.01.02_3830_0200.jpg", "prev_meeting_viewer_url")</f>
        <v>prev_meeting_viewer_url</v>
      </c>
      <c r="Y295" t="str">
        <f>HYPERLINK("https://images.diginfra.net/iiif/NL-HaNA_1.01.02/3830/NL-HaNA_1.01.02_3830_0200.jpg/1230,837,1078,2394/full/0/default.jpg", "prev_meeting_iiif_url")</f>
        <v>prev_meeting_iiif_url</v>
      </c>
      <c r="Z295" t="s">
        <v>44</v>
      </c>
      <c r="AA295" t="s">
        <v>1307</v>
      </c>
      <c r="AB295" t="str">
        <f>HYPERLINK("https://images.diginfra.net/framed3.html?imagesetuuid=c4957ef5-1023-495b-ad5d-bfab5967cb29&amp;uri=https://images.diginfra.net/iiif/NL-HaNA_1.01.02/3830/NL-HaNA_1.01.02_3830_0202.jpg", "next_meeting_viewer_url")</f>
        <v>next_meeting_viewer_url</v>
      </c>
      <c r="AC295" t="str">
        <f>HYPERLINK("https://images.diginfra.net/iiif/NL-HaNA_1.01.02/3830/NL-HaNA_1.01.02_3830_0202.jpg/2414,1557,1073,1808/full/0/default.jpg", "next_meeting_iiif_url")</f>
        <v>next_meeting_iiif_url</v>
      </c>
    </row>
    <row r="296" spans="1:29" x14ac:dyDescent="0.2">
      <c r="A296" t="s">
        <v>1308</v>
      </c>
      <c r="B296" t="s">
        <v>63</v>
      </c>
      <c r="D296" t="b">
        <v>0</v>
      </c>
      <c r="E296" t="b">
        <v>0</v>
      </c>
      <c r="F296">
        <v>1</v>
      </c>
      <c r="H296" t="s">
        <v>71</v>
      </c>
      <c r="J296">
        <v>3847</v>
      </c>
      <c r="K296">
        <v>343</v>
      </c>
      <c r="N296">
        <f t="shared" si="6"/>
        <v>686</v>
      </c>
      <c r="O296">
        <v>685</v>
      </c>
      <c r="P296">
        <v>1</v>
      </c>
      <c r="T296" t="str">
        <f>HYPERLINK("None", "viewer_url")</f>
        <v>viewer_url</v>
      </c>
      <c r="U296" t="str">
        <f>HYPERLINK("None", "iiif_url")</f>
        <v>iiif_url</v>
      </c>
      <c r="V296" t="s">
        <v>33</v>
      </c>
      <c r="W296" t="s">
        <v>1309</v>
      </c>
      <c r="X296" t="str">
        <f>HYPERLINK("https://images.diginfra.net/framed3.html?imagesetuuid=1a032cf9-834a-4330-9619-23e00357d062&amp;uri=https://images.diginfra.net/iiif/NL-HaNA_1.01.02/3847/NL-HaNA_1.01.02_3847_0341.jpg", "prev_meeting_viewer_url")</f>
        <v>prev_meeting_viewer_url</v>
      </c>
      <c r="Y296" t="str">
        <f>HYPERLINK("https://images.diginfra.net/iiif/NL-HaNA_1.01.02/3847/NL-HaNA_1.01.02_3847_0341.jpg/398,2636,1011,804/full/0/default.jpg", "prev_meeting_iiif_url")</f>
        <v>prev_meeting_iiif_url</v>
      </c>
    </row>
    <row r="297" spans="1:29" x14ac:dyDescent="0.2">
      <c r="A297" t="s">
        <v>1310</v>
      </c>
      <c r="B297" t="s">
        <v>63</v>
      </c>
      <c r="D297" t="b">
        <v>0</v>
      </c>
      <c r="E297" t="b">
        <v>0</v>
      </c>
      <c r="F297">
        <v>1</v>
      </c>
      <c r="I297" t="s">
        <v>1311</v>
      </c>
      <c r="J297">
        <v>3855</v>
      </c>
      <c r="K297">
        <v>222</v>
      </c>
      <c r="N297">
        <f t="shared" si="6"/>
        <v>444</v>
      </c>
      <c r="O297">
        <v>443</v>
      </c>
      <c r="P297">
        <v>0</v>
      </c>
      <c r="Q297">
        <v>1</v>
      </c>
      <c r="R297">
        <v>0</v>
      </c>
      <c r="S297" t="s">
        <v>33</v>
      </c>
      <c r="T297" t="str">
        <f>HYPERLINK("https://images.diginfra.net/framed3.html?imagesetuuid=5244deb9-8f97-4a39-89ba-6da1d308b8f5&amp;uri=https://images.diginfra.net/iiif/NL-HaNA_1.01.02/3855/NL-HaNA_1.01.02_3855_0222.jpg", "viewer_url")</f>
        <v>viewer_url</v>
      </c>
      <c r="U297" t="str">
        <f>HYPERLINK("https://images.diginfra.net/iiif/NL-HaNA_1.01.02/3855/NL-HaNA_1.01.02_3855_0222.jpg/2426,1396,1061,2033/full/0/default.jpg", "iiif_url")</f>
        <v>iiif_url</v>
      </c>
      <c r="V297" t="s">
        <v>33</v>
      </c>
      <c r="W297" t="s">
        <v>1312</v>
      </c>
      <c r="X297" t="str">
        <f>HYPERLINK("https://images.diginfra.net/framed3.html?imagesetuuid=5244deb9-8f97-4a39-89ba-6da1d308b8f5&amp;uri=https://images.diginfra.net/iiif/NL-HaNA_1.01.02/3855/NL-HaNA_1.01.02_3855_0218.jpg", "prev_meeting_viewer_url")</f>
        <v>prev_meeting_viewer_url</v>
      </c>
      <c r="Y297" t="str">
        <f>HYPERLINK("https://images.diginfra.net/iiif/NL-HaNA_1.01.02/3855/NL-HaNA_1.01.02_3855_0218.jpg/1286,2544,1026,802/full/0/default.jpg", "prev_meeting_iiif_url")</f>
        <v>prev_meeting_iiif_url</v>
      </c>
      <c r="Z297" t="s">
        <v>33</v>
      </c>
      <c r="AA297" t="s">
        <v>1313</v>
      </c>
      <c r="AB297" t="str">
        <f>HYPERLINK("https://images.diginfra.net/framed3.html?imagesetuuid=5244deb9-8f97-4a39-89ba-6da1d308b8f5&amp;uri=https://images.diginfra.net/iiif/NL-HaNA_1.01.02/3855/NL-HaNA_1.01.02_3855_0222.jpg", "next_meeting_viewer_url")</f>
        <v>next_meeting_viewer_url</v>
      </c>
      <c r="AC297" t="str">
        <f>HYPERLINK("https://images.diginfra.net/iiif/NL-HaNA_1.01.02/3855/NL-HaNA_1.01.02_3855_0222.jpg/2426,1396,1061,2033/full/0/default.jpg", "next_meeting_iiif_url")</f>
        <v>next_meeting_iiif_url</v>
      </c>
    </row>
    <row r="298" spans="1:29" x14ac:dyDescent="0.2">
      <c r="A298" t="s">
        <v>1314</v>
      </c>
      <c r="B298" t="s">
        <v>37</v>
      </c>
      <c r="C298" t="s">
        <v>1315</v>
      </c>
      <c r="D298" t="b">
        <v>1</v>
      </c>
      <c r="E298" t="b">
        <v>1</v>
      </c>
      <c r="F298">
        <v>1</v>
      </c>
      <c r="I298" t="s">
        <v>1316</v>
      </c>
      <c r="J298">
        <v>3801</v>
      </c>
      <c r="K298">
        <v>327</v>
      </c>
      <c r="L298">
        <v>1249</v>
      </c>
      <c r="M298">
        <v>1677</v>
      </c>
      <c r="N298">
        <f t="shared" si="6"/>
        <v>654</v>
      </c>
      <c r="O298">
        <v>652</v>
      </c>
      <c r="P298">
        <v>1</v>
      </c>
      <c r="Q298">
        <v>2</v>
      </c>
      <c r="R298">
        <v>0</v>
      </c>
      <c r="S298" t="s">
        <v>33</v>
      </c>
      <c r="T298" t="str">
        <f>HYPERLINK("https://images.diginfra.net/framed3.html?imagesetuuid=f36c8416-59a8-4b1a-a82a-ef225cbd1971&amp;uri=https://images.diginfra.net/iiif/NL-HaNA_1.01.02/3801/NL-HaNA_1.01.02_3801_0327.jpg", "viewer_url")</f>
        <v>viewer_url</v>
      </c>
      <c r="U298" t="str">
        <f>HYPERLINK("https://images.diginfra.net/iiif/NL-HaNA_1.01.02/3801/NL-HaNA_1.01.02_3801_0327.jpg/1249,1677,1092,1663/full/0/default.jpg", "iiif_url")</f>
        <v>iiif_url</v>
      </c>
      <c r="V298" t="s">
        <v>33</v>
      </c>
      <c r="W298" t="s">
        <v>1317</v>
      </c>
      <c r="X298" t="str">
        <f>HYPERLINK("https://images.diginfra.net/framed3.html?imagesetuuid=f36c8416-59a8-4b1a-a82a-ef225cbd1971&amp;uri=https://images.diginfra.net/iiif/NL-HaNA_1.01.02/3801/NL-HaNA_1.01.02_3801_0324.jpg", "prev_meeting_viewer_url")</f>
        <v>prev_meeting_viewer_url</v>
      </c>
      <c r="Y298" t="str">
        <f>HYPERLINK("https://images.diginfra.net/iiif/NL-HaNA_1.01.02/3801/NL-HaNA_1.01.02_3801_0324.jpg/1220,1223,1099,2145/full/0/default.jpg", "prev_meeting_iiif_url")</f>
        <v>prev_meeting_iiif_url</v>
      </c>
      <c r="Z298" t="s">
        <v>33</v>
      </c>
      <c r="AA298" t="s">
        <v>1318</v>
      </c>
      <c r="AB298" t="str">
        <f>HYPERLINK("https://images.diginfra.net/framed3.html?imagesetuuid=f36c8416-59a8-4b1a-a82a-ef225cbd1971&amp;uri=https://images.diginfra.net/iiif/NL-HaNA_1.01.02/3801/NL-HaNA_1.01.02_3801_0328.jpg", "next_meeting_viewer_url")</f>
        <v>next_meeting_viewer_url</v>
      </c>
      <c r="AC298" t="str">
        <f>HYPERLINK("https://images.diginfra.net/iiif/NL-HaNA_1.01.02/3801/NL-HaNA_1.01.02_3801_0328.jpg/350,2544,1027,779/full/0/default.jpg", "next_meeting_iiif_url")</f>
        <v>next_meeting_iiif_url</v>
      </c>
    </row>
    <row r="299" spans="1:29" x14ac:dyDescent="0.2">
      <c r="A299" t="s">
        <v>1319</v>
      </c>
      <c r="B299" t="s">
        <v>79</v>
      </c>
      <c r="C299" t="s">
        <v>1320</v>
      </c>
      <c r="D299" t="b">
        <v>1</v>
      </c>
      <c r="E299" t="b">
        <v>1</v>
      </c>
      <c r="F299">
        <v>1</v>
      </c>
      <c r="I299" t="s">
        <v>1321</v>
      </c>
      <c r="J299">
        <v>3833</v>
      </c>
      <c r="K299">
        <v>338</v>
      </c>
      <c r="L299">
        <v>3287</v>
      </c>
      <c r="M299">
        <v>859</v>
      </c>
      <c r="N299">
        <f t="shared" si="6"/>
        <v>676</v>
      </c>
      <c r="O299">
        <v>675</v>
      </c>
      <c r="P299">
        <v>1</v>
      </c>
      <c r="Q299">
        <v>1</v>
      </c>
      <c r="R299">
        <v>0</v>
      </c>
      <c r="S299" t="s">
        <v>33</v>
      </c>
      <c r="T299" t="str">
        <f>HYPERLINK("https://images.diginfra.net/framed3.html?imagesetuuid=93b95c12-1805-42f5-98c6-c352681b46bb&amp;uri=https://images.diginfra.net/iiif/NL-HaNA_1.01.02/3833/NL-HaNA_1.01.02_3833_0338.jpg", "viewer_url")</f>
        <v>viewer_url</v>
      </c>
      <c r="U299" t="str">
        <f>HYPERLINK("https://images.diginfra.net/iiif/NL-HaNA_1.01.02/3833/NL-HaNA_1.01.02_3833_0338.jpg/3287,859,1082,2493/full/0/default.jpg", "iiif_url")</f>
        <v>iiif_url</v>
      </c>
      <c r="V299" t="s">
        <v>33</v>
      </c>
      <c r="W299" t="s">
        <v>1322</v>
      </c>
      <c r="X299" t="str">
        <f>HYPERLINK("https://images.diginfra.net/framed3.html?imagesetuuid=93b95c12-1805-42f5-98c6-c352681b46bb&amp;uri=https://images.diginfra.net/iiif/NL-HaNA_1.01.02/3833/NL-HaNA_1.01.02_3833_0337.jpg", "prev_meeting_viewer_url")</f>
        <v>prev_meeting_viewer_url</v>
      </c>
      <c r="Y299" t="str">
        <f>HYPERLINK("https://images.diginfra.net/iiif/NL-HaNA_1.01.02/3833/NL-HaNA_1.01.02_3833_0337.jpg/3351,2465,1027,834/full/0/default.jpg", "prev_meeting_iiif_url")</f>
        <v>prev_meeting_iiif_url</v>
      </c>
      <c r="Z299" t="s">
        <v>44</v>
      </c>
      <c r="AB299" t="str">
        <f>HYPERLINK("https://images.diginfra.net/framed3.html?imagesetuuid=93b95c12-1805-42f5-98c6-c352681b46bb&amp;uri=https://images.diginfra.net/iiif/NL-HaNA_1.01.02/3833/NL-HaNA_1.01.02_3833_0341.jpg", "next_meeting_viewer_url")</f>
        <v>next_meeting_viewer_url</v>
      </c>
      <c r="AC299" t="str">
        <f>HYPERLINK("https://images.diginfra.net/iiif/NL-HaNA_1.01.02/3833/NL-HaNA_1.01.02_3833_0341.jpg/2376,231,1090,3075/full/0/default.jpg", "next_meeting_iiif_url")</f>
        <v>next_meeting_iiif_url</v>
      </c>
    </row>
    <row r="300" spans="1:29" x14ac:dyDescent="0.2">
      <c r="A300" t="s">
        <v>1323</v>
      </c>
      <c r="B300" t="s">
        <v>37</v>
      </c>
      <c r="D300" t="b">
        <v>1</v>
      </c>
      <c r="E300" t="b">
        <v>1</v>
      </c>
      <c r="F300">
        <v>1</v>
      </c>
      <c r="J300">
        <v>3816</v>
      </c>
      <c r="K300">
        <v>318</v>
      </c>
      <c r="L300">
        <v>2538</v>
      </c>
      <c r="M300">
        <v>2556</v>
      </c>
      <c r="N300">
        <f t="shared" si="6"/>
        <v>636</v>
      </c>
      <c r="O300">
        <v>635</v>
      </c>
      <c r="P300">
        <v>0</v>
      </c>
      <c r="T300" t="str">
        <f>HYPERLINK("None", "viewer_url")</f>
        <v>viewer_url</v>
      </c>
      <c r="U300" t="str">
        <f>HYPERLINK("https://images.diginfra.net/iiif/NL-HaNA_1.01.02/3816/NL-HaNA_1.01.02_3816_0318.jpg/2538,2556,864,733/full/0/default.jpg", "iiif_url")</f>
        <v>iiif_url</v>
      </c>
      <c r="Z300" t="s">
        <v>33</v>
      </c>
      <c r="AA300" t="s">
        <v>1324</v>
      </c>
      <c r="AB300" t="str">
        <f>HYPERLINK("https://images.diginfra.net/framed3.html?imagesetuuid=1c2c3458-ea9f-4ec5-811c-cef54972a496&amp;uri=https://images.diginfra.net/iiif/NL-HaNA_1.01.02/3816/NL-HaNA_1.01.02_3816_0320.jpg", "next_meeting_viewer_url")</f>
        <v>next_meeting_viewer_url</v>
      </c>
      <c r="AC300" t="str">
        <f>HYPERLINK("https://images.diginfra.net/iiif/NL-HaNA_1.01.02/3816/NL-HaNA_1.01.02_3816_0320.jpg/2415,2410,1091,901/full/0/default.jpg", "next_meeting_iiif_url")</f>
        <v>next_meeting_iiif_url</v>
      </c>
    </row>
    <row r="301" spans="1:29" x14ac:dyDescent="0.2">
      <c r="A301" t="s">
        <v>1325</v>
      </c>
      <c r="B301" t="s">
        <v>85</v>
      </c>
      <c r="C301" t="s">
        <v>1326</v>
      </c>
      <c r="D301" t="b">
        <v>1</v>
      </c>
      <c r="E301" t="b">
        <v>1</v>
      </c>
      <c r="F301">
        <v>1</v>
      </c>
      <c r="I301" t="s">
        <v>1327</v>
      </c>
      <c r="J301">
        <v>3772</v>
      </c>
      <c r="K301">
        <v>102</v>
      </c>
      <c r="L301">
        <v>397</v>
      </c>
      <c r="M301">
        <v>2844</v>
      </c>
      <c r="N301">
        <f t="shared" si="6"/>
        <v>204</v>
      </c>
      <c r="O301">
        <v>202</v>
      </c>
      <c r="P301">
        <v>0</v>
      </c>
      <c r="Q301">
        <v>3</v>
      </c>
      <c r="R301">
        <v>0</v>
      </c>
      <c r="S301" t="s">
        <v>33</v>
      </c>
      <c r="T301" t="str">
        <f>HYPERLINK("https://images.diginfra.net/framed3.html?imagesetuuid=7816564e-398d-48a2-b251-a02a50cc0b59&amp;uri=https://images.diginfra.net/iiif/NL-HaNA_1.01.02/3772/NL-HaNA_1.01.02_3772_0102.jpg", "viewer_url")</f>
        <v>viewer_url</v>
      </c>
      <c r="U301" t="str">
        <f>HYPERLINK("https://images.diginfra.net/iiif/NL-HaNA_1.01.02/3772/NL-HaNA_1.01.02_3772_0102.jpg/397,2844,844,497/full/0/default.jpg", "iiif_url")</f>
        <v>iiif_url</v>
      </c>
      <c r="V301" t="s">
        <v>33</v>
      </c>
      <c r="W301" t="s">
        <v>1328</v>
      </c>
      <c r="X301" t="str">
        <f>HYPERLINK("https://images.diginfra.net/framed3.html?imagesetuuid=7816564e-398d-48a2-b251-a02a50cc0b59&amp;uri=https://images.diginfra.net/iiif/NL-HaNA_1.01.02/3772/NL-HaNA_1.01.02_3772_0100.jpg", "prev_meeting_viewer_url")</f>
        <v>prev_meeting_viewer_url</v>
      </c>
      <c r="Y301" t="str">
        <f>HYPERLINK("https://images.diginfra.net/iiif/NL-HaNA_1.01.02/3772/NL-HaNA_1.01.02_3772_0100.jpg/3446,1837,1031,1518/full/0/default.jpg", "prev_meeting_iiif_url")</f>
        <v>prev_meeting_iiif_url</v>
      </c>
      <c r="Z301" t="s">
        <v>33</v>
      </c>
      <c r="AA301" t="s">
        <v>1329</v>
      </c>
      <c r="AB301" t="str">
        <f>HYPERLINK("https://images.diginfra.net/framed3.html?imagesetuuid=7816564e-398d-48a2-b251-a02a50cc0b59&amp;uri=https://images.diginfra.net/iiif/NL-HaNA_1.01.02/3772/NL-HaNA_1.01.02_3772_0102.jpg", "next_meeting_viewer_url")</f>
        <v>next_meeting_viewer_url</v>
      </c>
      <c r="AC301" t="str">
        <f>HYPERLINK("https://images.diginfra.net/iiif/NL-HaNA_1.01.02/3772/NL-HaNA_1.01.02_3772_0102.jpg/2474,2746,1031,719/full/0/default.jpg", "next_meeting_iiif_url")</f>
        <v>next_meeting_iiif_url</v>
      </c>
    </row>
    <row r="302" spans="1:29" x14ac:dyDescent="0.2">
      <c r="A302" t="s">
        <v>1330</v>
      </c>
      <c r="B302" t="s">
        <v>63</v>
      </c>
      <c r="D302" t="b">
        <v>0</v>
      </c>
      <c r="E302" t="b">
        <v>0</v>
      </c>
      <c r="I302" t="s">
        <v>1331</v>
      </c>
      <c r="J302">
        <v>3772</v>
      </c>
      <c r="K302">
        <v>336</v>
      </c>
      <c r="N302">
        <f t="shared" si="6"/>
        <v>672</v>
      </c>
      <c r="O302">
        <v>670</v>
      </c>
      <c r="P302">
        <v>1</v>
      </c>
      <c r="Q302">
        <v>3</v>
      </c>
      <c r="R302">
        <v>0</v>
      </c>
      <c r="S302" t="s">
        <v>33</v>
      </c>
      <c r="T302" t="str">
        <f>HYPERLINK("https://images.diginfra.net/framed3.html?imagesetuuid=7816564e-398d-48a2-b251-a02a50cc0b59&amp;uri=https://images.diginfra.net/iiif/NL-HaNA_1.01.02/3772/NL-HaNA_1.01.02_3772_0336.jpg", "viewer_url")</f>
        <v>viewer_url</v>
      </c>
      <c r="U302" t="str">
        <f>HYPERLINK("https://images.diginfra.net/iiif/NL-HaNA_1.01.02/3772/NL-HaNA_1.01.02_3772_0336.jpg/1250,1869,1089,1528/full/0/default.jpg", "iiif_url")</f>
        <v>iiif_url</v>
      </c>
      <c r="V302" t="s">
        <v>33</v>
      </c>
      <c r="W302" t="s">
        <v>1332</v>
      </c>
      <c r="X302" t="str">
        <f>HYPERLINK("https://images.diginfra.net/framed3.html?imagesetuuid=7816564e-398d-48a2-b251-a02a50cc0b59&amp;uri=https://images.diginfra.net/iiif/NL-HaNA_1.01.02/3772/NL-HaNA_1.01.02_3772_0333.jpg", "prev_meeting_viewer_url")</f>
        <v>prev_meeting_viewer_url</v>
      </c>
      <c r="Y302" t="str">
        <f>HYPERLINK("https://images.diginfra.net/iiif/NL-HaNA_1.01.02/3772/NL-HaNA_1.01.02_3772_0333.jpg/3341,1320,1099,2097/full/0/default.jpg", "prev_meeting_iiif_url")</f>
        <v>prev_meeting_iiif_url</v>
      </c>
      <c r="Z302" t="s">
        <v>33</v>
      </c>
      <c r="AA302" t="s">
        <v>1333</v>
      </c>
      <c r="AB302" t="str">
        <f>HYPERLINK("https://images.diginfra.net/framed3.html?imagesetuuid=7816564e-398d-48a2-b251-a02a50cc0b59&amp;uri=https://images.diginfra.net/iiif/NL-HaNA_1.01.02/3772/NL-HaNA_1.01.02_3772_0336.jpg", "next_meeting_viewer_url")</f>
        <v>next_meeting_viewer_url</v>
      </c>
      <c r="AC302" t="str">
        <f>HYPERLINK("https://images.diginfra.net/iiif/NL-HaNA_1.01.02/3772/NL-HaNA_1.01.02_3772_0336.jpg/1250,1869,1089,1528/full/0/default.jpg", "next_meeting_iiif_url")</f>
        <v>next_meeting_iiif_url</v>
      </c>
    </row>
    <row r="303" spans="1:29" x14ac:dyDescent="0.2">
      <c r="A303" t="s">
        <v>1334</v>
      </c>
      <c r="B303" t="s">
        <v>59</v>
      </c>
      <c r="C303" t="s">
        <v>1335</v>
      </c>
      <c r="D303" t="b">
        <v>1</v>
      </c>
      <c r="E303" t="b">
        <v>1</v>
      </c>
      <c r="I303" t="s">
        <v>1336</v>
      </c>
      <c r="J303">
        <v>3784</v>
      </c>
      <c r="K303">
        <v>348</v>
      </c>
      <c r="L303">
        <v>3321</v>
      </c>
      <c r="M303">
        <v>1748</v>
      </c>
      <c r="N303">
        <f t="shared" si="6"/>
        <v>696</v>
      </c>
      <c r="O303">
        <v>695</v>
      </c>
      <c r="P303">
        <v>1</v>
      </c>
      <c r="Q303">
        <v>1</v>
      </c>
      <c r="R303">
        <v>0</v>
      </c>
      <c r="S303" t="s">
        <v>33</v>
      </c>
      <c r="T303" t="str">
        <f>HYPERLINK("https://images.diginfra.net/framed3.html?imagesetuuid=cb2f6e2d-502d-41d8-a51c-455c64ed98c9&amp;uri=https://images.diginfra.net/iiif/NL-HaNA_1.01.02/3784/NL-HaNA_1.01.02_3784_0348.jpg", "viewer_url")</f>
        <v>viewer_url</v>
      </c>
      <c r="U303" t="str">
        <f>HYPERLINK("https://images.diginfra.net/iiif/NL-HaNA_1.01.02/3784/NL-HaNA_1.01.02_3784_0348.jpg/3321,1748,910,1597/full/0/default.jpg", "iiif_url")</f>
        <v>iiif_url</v>
      </c>
      <c r="Z303" t="s">
        <v>33</v>
      </c>
      <c r="AA303" t="s">
        <v>1337</v>
      </c>
      <c r="AB303" t="str">
        <f>HYPERLINK("https://images.diginfra.net/framed3.html?imagesetuuid=cb2f6e2d-502d-41d8-a51c-455c64ed98c9&amp;uri=https://images.diginfra.net/iiif/NL-HaNA_1.01.02/3784/NL-HaNA_1.01.02_3784_0349.jpg", "next_meeting_viewer_url")</f>
        <v>next_meeting_viewer_url</v>
      </c>
      <c r="AC303" t="str">
        <f>HYPERLINK("https://images.diginfra.net/iiif/NL-HaNA_1.01.02/3784/NL-HaNA_1.01.02_3784_0349.jpg/2351,1833,1071,1536/full/0/default.jpg", "next_meeting_iiif_url")</f>
        <v>next_meeting_iiif_url</v>
      </c>
    </row>
    <row r="304" spans="1:29" x14ac:dyDescent="0.2">
      <c r="A304" t="s">
        <v>1338</v>
      </c>
      <c r="B304" t="s">
        <v>63</v>
      </c>
      <c r="D304" t="b">
        <v>0</v>
      </c>
      <c r="E304" t="b">
        <v>0</v>
      </c>
      <c r="I304" t="s">
        <v>1339</v>
      </c>
      <c r="J304">
        <v>3799</v>
      </c>
      <c r="K304">
        <v>94</v>
      </c>
      <c r="N304">
        <f t="shared" si="6"/>
        <v>188</v>
      </c>
      <c r="O304">
        <v>187</v>
      </c>
      <c r="P304">
        <v>0</v>
      </c>
      <c r="Q304">
        <v>0</v>
      </c>
      <c r="R304">
        <v>0</v>
      </c>
      <c r="S304" t="s">
        <v>33</v>
      </c>
      <c r="T304" t="str">
        <f>HYPERLINK("https://images.diginfra.net/framed3.html?imagesetuuid=4246d97e-5e7a-4171-b55e-14e0b73f61db&amp;uri=https://images.diginfra.net/iiif/NL-HaNA_1.01.02/3799/NL-HaNA_1.01.02_3799_0094.jpg", "viewer_url")</f>
        <v>viewer_url</v>
      </c>
      <c r="U304" t="str">
        <f>HYPERLINK("https://images.diginfra.net/iiif/NL-HaNA_1.01.02/3799/NL-HaNA_1.01.02_3799_0094.jpg/2321,1041,1080,2360/full/0/default.jpg", "iiif_url")</f>
        <v>iiif_url</v>
      </c>
      <c r="V304" t="s">
        <v>33</v>
      </c>
      <c r="W304" t="s">
        <v>300</v>
      </c>
      <c r="X304" t="str">
        <f>HYPERLINK("https://images.diginfra.net/framed3.html?imagesetuuid=4246d97e-5e7a-4171-b55e-14e0b73f61db&amp;uri=https://images.diginfra.net/iiif/NL-HaNA_1.01.02/3799/NL-HaNA_1.01.02_3799_0093.jpg", "prev_meeting_viewer_url")</f>
        <v>prev_meeting_viewer_url</v>
      </c>
      <c r="Y304" t="str">
        <f>HYPERLINK("https://images.diginfra.net/iiif/NL-HaNA_1.01.02/3799/NL-HaNA_1.01.02_3799_0093.jpg/2317,1340,1077,2048/full/0/default.jpg", "prev_meeting_iiif_url")</f>
        <v>prev_meeting_iiif_url</v>
      </c>
      <c r="Z304" t="s">
        <v>33</v>
      </c>
      <c r="AA304" t="s">
        <v>303</v>
      </c>
      <c r="AB304" t="str">
        <f>HYPERLINK("https://images.diginfra.net/framed3.html?imagesetuuid=4246d97e-5e7a-4171-b55e-14e0b73f61db&amp;uri=https://images.diginfra.net/iiif/NL-HaNA_1.01.02/3799/NL-HaNA_1.01.02_3799_0094.jpg", "next_meeting_viewer_url")</f>
        <v>next_meeting_viewer_url</v>
      </c>
      <c r="AC304" t="str">
        <f>HYPERLINK("https://images.diginfra.net/iiif/NL-HaNA_1.01.02/3799/NL-HaNA_1.01.02_3799_0094.jpg/2321,1041,1080,2360/full/0/default.jpg", "next_meeting_iiif_url")</f>
        <v>next_meeting_iiif_url</v>
      </c>
    </row>
    <row r="305" spans="1:29" x14ac:dyDescent="0.2">
      <c r="A305" t="s">
        <v>1340</v>
      </c>
      <c r="B305" t="s">
        <v>30</v>
      </c>
      <c r="D305" t="b">
        <v>1</v>
      </c>
      <c r="E305" t="b">
        <v>0</v>
      </c>
      <c r="L305">
        <v>2398</v>
      </c>
      <c r="M305">
        <v>1728</v>
      </c>
      <c r="N305">
        <f t="shared" si="6"/>
        <v>0</v>
      </c>
      <c r="T305" t="str">
        <f>HYPERLINK("None", "viewer_url")</f>
        <v>viewer_url</v>
      </c>
      <c r="U305" t="str">
        <f>HYPERLINK("https://images.diginfra.net/iiif/NL-HaNA_1.01.02/3826/NL-HaNA_1.01.02_3826_0178.jpg/2398,1728,879,1460/full/0/default.jpg", "iiif_url")</f>
        <v>iiif_url</v>
      </c>
      <c r="V305" t="s">
        <v>44</v>
      </c>
      <c r="W305" t="s">
        <v>1341</v>
      </c>
      <c r="X305" t="str">
        <f>HYPERLINK("https://images.diginfra.net/framed3.html?imagesetuuid=9e71b122-742f-4bfd-bebd-880415775331&amp;uri=https://images.diginfra.net/iiif/NL-HaNA_1.01.02/3826/NL-HaNA_1.01.02_3826_0177.jpg", "prev_meeting_viewer_url")</f>
        <v>prev_meeting_viewer_url</v>
      </c>
      <c r="Y305" t="str">
        <f>HYPERLINK("https://images.diginfra.net/iiif/NL-HaNA_1.01.02/3826/NL-HaNA_1.01.02_3826_0177.jpg/3260,1319,1076,2146/full/0/default.jpg", "prev_meeting_iiif_url")</f>
        <v>prev_meeting_iiif_url</v>
      </c>
      <c r="Z305" t="s">
        <v>33</v>
      </c>
      <c r="AA305" t="s">
        <v>1342</v>
      </c>
      <c r="AB305" t="str">
        <f>HYPERLINK("https://images.diginfra.net/framed3.html?imagesetuuid=9e71b122-742f-4bfd-bebd-880415775331&amp;uri=https://images.diginfra.net/iiif/NL-HaNA_1.01.02/3826/NL-HaNA_1.01.02_3826_0181.jpg", "next_meeting_viewer_url")</f>
        <v>next_meeting_viewer_url</v>
      </c>
      <c r="AC305" t="str">
        <f>HYPERLINK("https://images.diginfra.net/iiif/NL-HaNA_1.01.02/3826/NL-HaNA_1.01.02_3826_0181.jpg/1252,1962,1035,1343/full/0/default.jpg", "next_meeting_iiif_url")</f>
        <v>next_meeting_iiif_url</v>
      </c>
    </row>
    <row r="306" spans="1:29" x14ac:dyDescent="0.2">
      <c r="A306" t="s">
        <v>1343</v>
      </c>
      <c r="B306" t="s">
        <v>59</v>
      </c>
      <c r="D306" t="b">
        <v>0</v>
      </c>
      <c r="E306" t="b">
        <v>0</v>
      </c>
      <c r="I306" t="s">
        <v>1344</v>
      </c>
      <c r="J306">
        <v>3855</v>
      </c>
      <c r="K306">
        <v>20</v>
      </c>
      <c r="N306">
        <f t="shared" si="6"/>
        <v>40</v>
      </c>
      <c r="O306">
        <v>38</v>
      </c>
      <c r="P306">
        <v>1</v>
      </c>
      <c r="Q306">
        <v>1</v>
      </c>
      <c r="R306">
        <v>0</v>
      </c>
      <c r="S306" t="s">
        <v>33</v>
      </c>
      <c r="T306" t="str">
        <f>HYPERLINK("https://images.diginfra.net/framed3.html?imagesetuuid=5244deb9-8f97-4a39-89ba-6da1d308b8f5&amp;uri=https://images.diginfra.net/iiif/NL-HaNA_1.01.02/3855/NL-HaNA_1.01.02_3855_0020.jpg", "viewer_url")</f>
        <v>viewer_url</v>
      </c>
      <c r="U306" t="str">
        <f>HYPERLINK("https://images.diginfra.net/iiif/NL-HaNA_1.01.02/3855/NL-HaNA_1.01.02_3855_0020.jpg/1466,2852,753,498/full/0/default.jpg", "iiif_url")</f>
        <v>iiif_url</v>
      </c>
      <c r="V306" t="s">
        <v>33</v>
      </c>
      <c r="W306" t="s">
        <v>1345</v>
      </c>
      <c r="X306" t="str">
        <f>HYPERLINK("https://images.diginfra.net/framed3.html?imagesetuuid=5244deb9-8f97-4a39-89ba-6da1d308b8f5&amp;uri=https://images.diginfra.net/iiif/NL-HaNA_1.01.02/3855/NL-HaNA_1.01.02_3855_0018.jpg", "prev_meeting_viewer_url")</f>
        <v>prev_meeting_viewer_url</v>
      </c>
      <c r="Y306" t="str">
        <f>HYPERLINK("https://images.diginfra.net/iiif/NL-HaNA_1.01.02/3855/NL-HaNA_1.01.02_3855_0018.jpg/3312,1457,1084,1967/full/0/default.jpg", "prev_meeting_iiif_url")</f>
        <v>prev_meeting_iiif_url</v>
      </c>
      <c r="Z306" t="s">
        <v>33</v>
      </c>
      <c r="AA306" t="s">
        <v>1346</v>
      </c>
      <c r="AB306" t="str">
        <f>HYPERLINK("https://images.diginfra.net/framed3.html?imagesetuuid=5244deb9-8f97-4a39-89ba-6da1d308b8f5&amp;uri=https://images.diginfra.net/iiif/NL-HaNA_1.01.02/3855/NL-HaNA_1.01.02_3855_0020.jpg", "next_meeting_viewer_url")</f>
        <v>next_meeting_viewer_url</v>
      </c>
      <c r="AC306" t="str">
        <f>HYPERLINK("https://images.diginfra.net/iiif/NL-HaNA_1.01.02/3855/NL-HaNA_1.01.02_3855_0020.jpg/1466,2852,753,498/full/0/default.jpg", "next_meeting_iiif_url")</f>
        <v>next_meeting_iiif_url</v>
      </c>
    </row>
    <row r="307" spans="1:29" x14ac:dyDescent="0.2">
      <c r="A307" t="s">
        <v>1347</v>
      </c>
      <c r="B307" t="s">
        <v>48</v>
      </c>
      <c r="C307" t="s">
        <v>1348</v>
      </c>
      <c r="D307" t="b">
        <v>1</v>
      </c>
      <c r="E307" t="b">
        <v>1</v>
      </c>
      <c r="I307" t="s">
        <v>1349</v>
      </c>
      <c r="J307">
        <v>3820</v>
      </c>
      <c r="K307">
        <v>110</v>
      </c>
      <c r="L307">
        <v>1294</v>
      </c>
      <c r="M307">
        <v>813</v>
      </c>
      <c r="N307">
        <f t="shared" si="6"/>
        <v>220</v>
      </c>
      <c r="O307">
        <v>218</v>
      </c>
      <c r="P307">
        <v>1</v>
      </c>
      <c r="Q307">
        <v>0</v>
      </c>
      <c r="R307">
        <v>9</v>
      </c>
      <c r="S307" t="s">
        <v>33</v>
      </c>
      <c r="T307" t="str">
        <f>HYPERLINK("https://images.diginfra.net/framed3.html?imagesetuuid=06387344-f6be-4f89-be7c-57105578c47e&amp;uri=https://images.diginfra.net/iiif/NL-HaNA_1.01.02/3820/NL-HaNA_1.01.02_3820_0110.jpg", "viewer_url")</f>
        <v>viewer_url</v>
      </c>
      <c r="U307" t="str">
        <f>HYPERLINK("https://images.diginfra.net/iiif/NL-HaNA_1.01.02/3820/NL-HaNA_1.01.02_3820_0110.jpg/1294,813,885,2469/full/0/default.jpg", "iiif_url")</f>
        <v>iiif_url</v>
      </c>
      <c r="V307" t="s">
        <v>33</v>
      </c>
      <c r="W307" t="s">
        <v>1350</v>
      </c>
      <c r="X307" t="str">
        <f>HYPERLINK("https://images.diginfra.net/framed3.html?imagesetuuid=06387344-f6be-4f89-be7c-57105578c47e&amp;uri=https://images.diginfra.net/iiif/NL-HaNA_1.01.02/3820/NL-HaNA_1.01.02_3820_0109.jpg", "prev_meeting_viewer_url")</f>
        <v>prev_meeting_viewer_url</v>
      </c>
      <c r="Y307" t="str">
        <f>HYPERLINK("https://images.diginfra.net/iiif/NL-HaNA_1.01.02/3820/NL-HaNA_1.01.02_3820_0109.jpg/3319,1718,1045,1559/full/0/default.jpg", "prev_meeting_iiif_url")</f>
        <v>prev_meeting_iiif_url</v>
      </c>
      <c r="Z307" t="s">
        <v>33</v>
      </c>
      <c r="AA307" t="s">
        <v>1351</v>
      </c>
      <c r="AB307" t="str">
        <f>HYPERLINK("https://images.diginfra.net/framed3.html?imagesetuuid=06387344-f6be-4f89-be7c-57105578c47e&amp;uri=https://images.diginfra.net/iiif/NL-HaNA_1.01.02/3820/NL-HaNA_1.01.02_3820_0111.jpg", "next_meeting_viewer_url")</f>
        <v>next_meeting_viewer_url</v>
      </c>
      <c r="AC307" t="str">
        <f>HYPERLINK("https://images.diginfra.net/iiif/NL-HaNA_1.01.02/3820/NL-HaNA_1.01.02_3820_0111.jpg/3279,475,1085,2944/full/0/default.jpg", "next_meeting_iiif_url")</f>
        <v>next_meeting_iiif_url</v>
      </c>
    </row>
    <row r="308" spans="1:29" x14ac:dyDescent="0.2">
      <c r="A308" t="s">
        <v>1352</v>
      </c>
      <c r="B308" t="s">
        <v>79</v>
      </c>
      <c r="C308" t="s">
        <v>1353</v>
      </c>
      <c r="D308" t="b">
        <v>1</v>
      </c>
      <c r="E308" t="b">
        <v>1</v>
      </c>
      <c r="I308" t="s">
        <v>1354</v>
      </c>
      <c r="J308">
        <v>3855</v>
      </c>
      <c r="K308">
        <v>95</v>
      </c>
      <c r="L308">
        <v>2544</v>
      </c>
      <c r="M308">
        <v>2372</v>
      </c>
      <c r="N308">
        <f t="shared" si="6"/>
        <v>190</v>
      </c>
      <c r="O308">
        <v>189</v>
      </c>
      <c r="P308">
        <v>0</v>
      </c>
      <c r="Q308">
        <v>2</v>
      </c>
      <c r="R308">
        <v>0</v>
      </c>
      <c r="S308" t="s">
        <v>33</v>
      </c>
      <c r="T308" t="str">
        <f>HYPERLINK("https://images.diginfra.net/framed3.html?imagesetuuid=5244deb9-8f97-4a39-89ba-6da1d308b8f5&amp;uri=https://images.diginfra.net/iiif/NL-HaNA_1.01.02/3855/NL-HaNA_1.01.02_3855_0095.jpg", "viewer_url")</f>
        <v>viewer_url</v>
      </c>
      <c r="U308" t="str">
        <f>HYPERLINK("https://images.diginfra.net/iiif/NL-HaNA_1.01.02/3855/NL-HaNA_1.01.02_3855_0095.jpg/2544,2372,829,999/full/0/default.jpg", "iiif_url")</f>
        <v>iiif_url</v>
      </c>
      <c r="V308" t="s">
        <v>33</v>
      </c>
      <c r="W308" t="s">
        <v>1355</v>
      </c>
      <c r="X308" t="str">
        <f>HYPERLINK("https://images.diginfra.net/framed3.html?imagesetuuid=5244deb9-8f97-4a39-89ba-6da1d308b8f5&amp;uri=https://images.diginfra.net/iiif/NL-HaNA_1.01.02/3855/NL-HaNA_1.01.02_3855_0095.jpg", "prev_meeting_viewer_url")</f>
        <v>prev_meeting_viewer_url</v>
      </c>
      <c r="Y308" t="str">
        <f>HYPERLINK("https://images.diginfra.net/iiif/NL-HaNA_1.01.02/3855/NL-HaNA_1.01.02_3855_0095.jpg/311,298,1075,3119/full/0/default.jpg", "prev_meeting_iiif_url")</f>
        <v>prev_meeting_iiif_url</v>
      </c>
      <c r="Z308" t="s">
        <v>44</v>
      </c>
      <c r="AA308" t="s">
        <v>1356</v>
      </c>
      <c r="AB308" t="str">
        <f>HYPERLINK("https://images.diginfra.net/framed3.html?imagesetuuid=5244deb9-8f97-4a39-89ba-6da1d308b8f5&amp;uri=https://images.diginfra.net/iiif/NL-HaNA_1.01.02/3855/NL-HaNA_1.01.02_3855_0096.jpg", "next_meeting_viewer_url")</f>
        <v>next_meeting_viewer_url</v>
      </c>
      <c r="AC308" t="str">
        <f>HYPERLINK("https://images.diginfra.net/iiif/NL-HaNA_1.01.02/3855/NL-HaNA_1.01.02_3855_0096.jpg/3319,1336,1067,2105/full/0/default.jpg", "next_meeting_iiif_url")</f>
        <v>next_meeting_iiif_url</v>
      </c>
    </row>
    <row r="309" spans="1:29" x14ac:dyDescent="0.2">
      <c r="A309" t="s">
        <v>1357</v>
      </c>
      <c r="B309" t="s">
        <v>63</v>
      </c>
      <c r="D309" t="b">
        <v>0</v>
      </c>
      <c r="E309" t="b">
        <v>0</v>
      </c>
      <c r="I309" t="s">
        <v>1358</v>
      </c>
      <c r="J309">
        <v>3771</v>
      </c>
      <c r="K309">
        <v>232</v>
      </c>
      <c r="N309">
        <f t="shared" si="6"/>
        <v>464</v>
      </c>
      <c r="O309">
        <v>463</v>
      </c>
      <c r="P309">
        <v>1</v>
      </c>
      <c r="Q309">
        <v>1</v>
      </c>
      <c r="R309">
        <v>0</v>
      </c>
      <c r="S309" t="s">
        <v>33</v>
      </c>
      <c r="T309" t="str">
        <f>HYPERLINK("https://images.diginfra.net/framed3.html?imagesetuuid=16b7bf4c-5e05-4e5e-b109-cf178ead6c3f&amp;uri=https://images.diginfra.net/iiif/NL-HaNA_1.01.02/3771/NL-HaNA_1.01.02_3771_0232.jpg", "viewer_url")</f>
        <v>viewer_url</v>
      </c>
      <c r="U309" t="str">
        <f>HYPERLINK("https://images.diginfra.net/iiif/NL-HaNA_1.01.02/3771/NL-HaNA_1.01.02_3771_0232.jpg/3460,2151,1035,1252/full/0/default.jpg", "iiif_url")</f>
        <v>iiif_url</v>
      </c>
      <c r="V309" t="s">
        <v>33</v>
      </c>
      <c r="W309" t="s">
        <v>1359</v>
      </c>
      <c r="X309" t="str">
        <f>HYPERLINK("https://images.diginfra.net/framed3.html?imagesetuuid=16b7bf4c-5e05-4e5e-b109-cf178ead6c3f&amp;uri=https://images.diginfra.net/iiif/NL-HaNA_1.01.02/3771/NL-HaNA_1.01.02_3771_0231.jpg", "prev_meeting_viewer_url")</f>
        <v>prev_meeting_viewer_url</v>
      </c>
      <c r="Y309" t="str">
        <f>HYPERLINK("https://images.diginfra.net/iiif/NL-HaNA_1.01.02/3771/NL-HaNA_1.01.02_3771_0231.jpg/1130,514,1116,2926/full/0/default.jpg", "prev_meeting_iiif_url")</f>
        <v>prev_meeting_iiif_url</v>
      </c>
      <c r="Z309" t="s">
        <v>33</v>
      </c>
      <c r="AA309" t="s">
        <v>1360</v>
      </c>
      <c r="AB309" t="str">
        <f>HYPERLINK("https://images.diginfra.net/framed3.html?imagesetuuid=16b7bf4c-5e05-4e5e-b109-cf178ead6c3f&amp;uri=https://images.diginfra.net/iiif/NL-HaNA_1.01.02/3771/NL-HaNA_1.01.02_3771_0232.jpg", "next_meeting_viewer_url")</f>
        <v>next_meeting_viewer_url</v>
      </c>
      <c r="AC309" t="str">
        <f>HYPERLINK("https://images.diginfra.net/iiif/NL-HaNA_1.01.02/3771/NL-HaNA_1.01.02_3771_0232.jpg/3460,2151,1035,1252/full/0/default.jpg", "next_meeting_iiif_url")</f>
        <v>next_meeting_iiif_url</v>
      </c>
    </row>
    <row r="310" spans="1:29" x14ac:dyDescent="0.2">
      <c r="A310" t="s">
        <v>1361</v>
      </c>
      <c r="B310" t="s">
        <v>48</v>
      </c>
      <c r="C310" t="s">
        <v>1362</v>
      </c>
      <c r="D310" t="b">
        <v>1</v>
      </c>
      <c r="E310" t="b">
        <v>1</v>
      </c>
      <c r="I310" t="s">
        <v>1363</v>
      </c>
      <c r="J310">
        <v>3825</v>
      </c>
      <c r="K310">
        <v>374</v>
      </c>
      <c r="L310">
        <v>549</v>
      </c>
      <c r="M310">
        <v>2676</v>
      </c>
      <c r="N310">
        <f t="shared" si="6"/>
        <v>748</v>
      </c>
      <c r="O310">
        <v>746</v>
      </c>
      <c r="P310">
        <v>0</v>
      </c>
      <c r="Q310">
        <v>2</v>
      </c>
      <c r="R310">
        <v>0</v>
      </c>
      <c r="S310" t="s">
        <v>33</v>
      </c>
      <c r="T310" t="str">
        <f>HYPERLINK("https://images.diginfra.net/framed3.html?imagesetuuid=3e55157c-ed48-4a0c-b4a9-bb205866d7cd&amp;uri=https://images.diginfra.net/iiif/NL-HaNA_1.01.02/3825/NL-HaNA_1.01.02_3825_0374.jpg", "viewer_url")</f>
        <v>viewer_url</v>
      </c>
      <c r="U310" t="str">
        <f>HYPERLINK("https://images.diginfra.net/iiif/NL-HaNA_1.01.02/3825/NL-HaNA_1.01.02_3825_0374.jpg/549,2676,591,504/full/0/default.jpg", "iiif_url")</f>
        <v>iiif_url</v>
      </c>
      <c r="V310" t="s">
        <v>33</v>
      </c>
      <c r="W310" t="s">
        <v>1364</v>
      </c>
      <c r="X310" t="str">
        <f>HYPERLINK("https://images.diginfra.net/framed3.html?imagesetuuid=3e55157c-ed48-4a0c-b4a9-bb205866d7cd&amp;uri=https://images.diginfra.net/iiif/NL-HaNA_1.01.02/3825/NL-HaNA_1.01.02_3825_0372.jpg", "prev_meeting_viewer_url")</f>
        <v>prev_meeting_viewer_url</v>
      </c>
      <c r="Y310" t="str">
        <f>HYPERLINK("https://images.diginfra.net/iiif/NL-HaNA_1.01.02/3825/NL-HaNA_1.01.02_3825_0372.jpg/1277,2085,1042,1082/full/0/default.jpg", "prev_meeting_iiif_url")</f>
        <v>prev_meeting_iiif_url</v>
      </c>
      <c r="Z310" t="s">
        <v>33</v>
      </c>
      <c r="AA310" t="s">
        <v>1365</v>
      </c>
      <c r="AB310" t="str">
        <f>HYPERLINK("https://images.diginfra.net/framed3.html?imagesetuuid=3e55157c-ed48-4a0c-b4a9-bb205866d7cd&amp;uri=https://images.diginfra.net/iiif/NL-HaNA_1.01.02/3825/NL-HaNA_1.01.02_3825_0375.jpg", "next_meeting_viewer_url")</f>
        <v>next_meeting_viewer_url</v>
      </c>
      <c r="AC310" t="str">
        <f>HYPERLINK("https://images.diginfra.net/iiif/NL-HaNA_1.01.02/3825/NL-HaNA_1.01.02_3825_0375.jpg/3385,2797,833,437/full/0/default.jpg", "next_meeting_iiif_url")</f>
        <v>next_meeting_iiif_url</v>
      </c>
    </row>
    <row r="311" spans="1:29" x14ac:dyDescent="0.2">
      <c r="A311" t="s">
        <v>1366</v>
      </c>
      <c r="B311" t="s">
        <v>59</v>
      </c>
      <c r="D311" t="b">
        <v>0</v>
      </c>
      <c r="E311" t="b">
        <v>0</v>
      </c>
      <c r="N311">
        <f t="shared" si="6"/>
        <v>0</v>
      </c>
      <c r="T311" t="str">
        <f>HYPERLINK("None", "viewer_url")</f>
        <v>viewer_url</v>
      </c>
      <c r="U311" t="str">
        <f>HYPERLINK("None", "iiif_url")</f>
        <v>iiif_url</v>
      </c>
      <c r="V311" t="s">
        <v>44</v>
      </c>
      <c r="W311" t="s">
        <v>1367</v>
      </c>
      <c r="X311" t="str">
        <f>HYPERLINK("https://images.diginfra.net/framed3.html?imagesetuuid=4a630f3a-34aa-4b1a-92d1-c32d4455e96f&amp;uri=https://images.diginfra.net/iiif/NL-HaNA_1.01.02/3829/NL-HaNA_1.01.02_3829_0334.jpg", "prev_meeting_viewer_url")</f>
        <v>prev_meeting_viewer_url</v>
      </c>
      <c r="Y311" t="str">
        <f>HYPERLINK("https://images.diginfra.net/iiif/NL-HaNA_1.01.02/3829/NL-HaNA_1.01.02_3829_0334.jpg/3269,1877,1080,1471/full/0/default.jpg", "prev_meeting_iiif_url")</f>
        <v>prev_meeting_iiif_url</v>
      </c>
    </row>
    <row r="312" spans="1:29" x14ac:dyDescent="0.2">
      <c r="A312" t="s">
        <v>1368</v>
      </c>
      <c r="B312" t="s">
        <v>59</v>
      </c>
      <c r="D312" t="b">
        <v>0</v>
      </c>
      <c r="E312" t="b">
        <v>0</v>
      </c>
      <c r="I312" t="s">
        <v>1369</v>
      </c>
      <c r="J312">
        <v>3811</v>
      </c>
      <c r="K312">
        <v>409</v>
      </c>
      <c r="N312">
        <f t="shared" si="6"/>
        <v>818</v>
      </c>
      <c r="O312">
        <v>816</v>
      </c>
      <c r="P312">
        <v>0</v>
      </c>
      <c r="Q312">
        <v>0</v>
      </c>
      <c r="R312">
        <v>32</v>
      </c>
      <c r="S312" t="s">
        <v>33</v>
      </c>
      <c r="T312" t="str">
        <f>HYPERLINK("https://images.diginfra.net/framed3.html?imagesetuuid=f707f64c-15ec-4624-ba99-82cb83d16c2c&amp;uri=https://images.diginfra.net/iiif/NL-HaNA_1.01.02/3811/NL-HaNA_1.01.02_3811_0409.jpg", "viewer_url")</f>
        <v>viewer_url</v>
      </c>
      <c r="U312" t="str">
        <f>HYPERLINK("https://images.diginfra.net/iiif/NL-HaNA_1.01.02/3811/NL-HaNA_1.01.02_3811_0409.jpg/251,1780,1096,1590/full/0/default.jpg", "iiif_url")</f>
        <v>iiif_url</v>
      </c>
      <c r="Z312" t="s">
        <v>33</v>
      </c>
      <c r="AA312" t="s">
        <v>1370</v>
      </c>
      <c r="AB312" t="str">
        <f>HYPERLINK("https://images.diginfra.net/framed3.html?imagesetuuid=f707f64c-15ec-4624-ba99-82cb83d16c2c&amp;uri=https://images.diginfra.net/iiif/NL-HaNA_1.01.02/3811/NL-HaNA_1.01.02_3811_0409.jpg", "next_meeting_viewer_url")</f>
        <v>next_meeting_viewer_url</v>
      </c>
      <c r="AC312" t="str">
        <f>HYPERLINK("https://images.diginfra.net/iiif/NL-HaNA_1.01.02/3811/NL-HaNA_1.01.02_3811_0409.jpg/251,1780,1096,1590/full/0/default.jpg", "next_meeting_iiif_url")</f>
        <v>next_meeting_iiif_url</v>
      </c>
    </row>
    <row r="313" spans="1:29" x14ac:dyDescent="0.2">
      <c r="A313" t="s">
        <v>1371</v>
      </c>
      <c r="B313" t="s">
        <v>48</v>
      </c>
      <c r="C313" t="s">
        <v>523</v>
      </c>
      <c r="D313" t="b">
        <v>1</v>
      </c>
      <c r="E313" t="b">
        <v>1</v>
      </c>
      <c r="I313" t="s">
        <v>1372</v>
      </c>
      <c r="J313">
        <v>3773</v>
      </c>
      <c r="K313">
        <v>380</v>
      </c>
      <c r="L313">
        <v>319</v>
      </c>
      <c r="M313">
        <v>1191</v>
      </c>
      <c r="N313">
        <f t="shared" si="6"/>
        <v>760</v>
      </c>
      <c r="O313">
        <v>758</v>
      </c>
      <c r="P313">
        <v>0</v>
      </c>
      <c r="Q313">
        <v>1</v>
      </c>
      <c r="R313">
        <v>0</v>
      </c>
      <c r="S313" t="s">
        <v>33</v>
      </c>
      <c r="T313" t="str">
        <f>HYPERLINK("https://images.diginfra.net/framed3.html?imagesetuuid=0d0ede5e-a7f6-4a03-b996-493e50528c24&amp;uri=https://images.diginfra.net/iiif/NL-HaNA_1.01.02/3773/NL-HaNA_1.01.02_3773_0380.jpg", "viewer_url")</f>
        <v>viewer_url</v>
      </c>
      <c r="U313" t="str">
        <f>HYPERLINK("https://images.diginfra.net/iiif/NL-HaNA_1.01.02/3773/NL-HaNA_1.01.02_3773_0380.jpg/319,1191,917,2118/full/0/default.jpg", "iiif_url")</f>
        <v>iiif_url</v>
      </c>
      <c r="V313" t="s">
        <v>33</v>
      </c>
      <c r="X313" t="str">
        <f>HYPERLINK("https://images.diginfra.net/framed3.html?imagesetuuid=0d0ede5e-a7f6-4a03-b996-493e50528c24&amp;uri=https://images.diginfra.net/iiif/NL-HaNA_1.01.02/3773/NL-HaNA_1.01.02_3773_0377.jpg", "prev_meeting_viewer_url")</f>
        <v>prev_meeting_viewer_url</v>
      </c>
      <c r="Y313" t="str">
        <f>HYPERLINK("https://images.diginfra.net/iiif/NL-HaNA_1.01.02/3773/NL-HaNA_1.01.02_3773_0377.jpg/2392,296,1096,3056/full/0/default.jpg", "prev_meeting_iiif_url")</f>
        <v>prev_meeting_iiif_url</v>
      </c>
      <c r="Z313" t="s">
        <v>33</v>
      </c>
      <c r="AA313" t="s">
        <v>1373</v>
      </c>
      <c r="AB313" t="str">
        <f>HYPERLINK("https://images.diginfra.net/framed3.html?imagesetuuid=0d0ede5e-a7f6-4a03-b996-493e50528c24&amp;uri=https://images.diginfra.net/iiif/NL-HaNA_1.01.02/3773/NL-HaNA_1.01.02_3773_0381.jpg", "next_meeting_viewer_url")</f>
        <v>next_meeting_viewer_url</v>
      </c>
      <c r="AC313" t="str">
        <f>HYPERLINK("https://images.diginfra.net/iiif/NL-HaNA_1.01.02/3773/NL-HaNA_1.01.02_3773_0381.jpg/3367,2648,1041,708/full/0/default.jpg", "next_meeting_iiif_url")</f>
        <v>next_meeting_iiif_url</v>
      </c>
    </row>
    <row r="314" spans="1:29" x14ac:dyDescent="0.2">
      <c r="A314" t="s">
        <v>1374</v>
      </c>
      <c r="B314" t="s">
        <v>63</v>
      </c>
      <c r="D314" t="b">
        <v>0</v>
      </c>
      <c r="E314" t="b">
        <v>0</v>
      </c>
      <c r="I314" t="s">
        <v>1375</v>
      </c>
      <c r="J314">
        <v>3829</v>
      </c>
      <c r="K314">
        <v>401</v>
      </c>
      <c r="N314">
        <f t="shared" si="6"/>
        <v>802</v>
      </c>
      <c r="O314">
        <v>801</v>
      </c>
      <c r="P314">
        <v>1</v>
      </c>
      <c r="Q314">
        <v>4</v>
      </c>
      <c r="R314">
        <v>0</v>
      </c>
      <c r="S314" t="s">
        <v>33</v>
      </c>
      <c r="T314" t="str">
        <f>HYPERLINK("https://images.diginfra.net/framed3.html?imagesetuuid=4a630f3a-34aa-4b1a-92d1-c32d4455e96f&amp;uri=https://images.diginfra.net/iiif/NL-HaNA_1.01.02/3829/NL-HaNA_1.01.02_3829_0401.jpg", "viewer_url")</f>
        <v>viewer_url</v>
      </c>
      <c r="U314" t="str">
        <f>HYPERLINK("https://images.diginfra.net/iiif/NL-HaNA_1.01.02/3829/NL-HaNA_1.01.02_3829_0401.jpg/2444,2522,1067,837/full/0/default.jpg", "iiif_url")</f>
        <v>iiif_url</v>
      </c>
      <c r="V314" t="s">
        <v>33</v>
      </c>
      <c r="W314" t="s">
        <v>1376</v>
      </c>
      <c r="X314" t="str">
        <f>HYPERLINK("https://images.diginfra.net/framed3.html?imagesetuuid=4a630f3a-34aa-4b1a-92d1-c32d4455e96f&amp;uri=https://images.diginfra.net/iiif/NL-HaNA_1.01.02/3829/NL-HaNA_1.01.02_3829_0401.jpg", "prev_meeting_viewer_url")</f>
        <v>prev_meeting_viewer_url</v>
      </c>
      <c r="Y314" t="str">
        <f>HYPERLINK("https://images.diginfra.net/iiif/NL-HaNA_1.01.02/3829/NL-HaNA_1.01.02_3829_0401.jpg/1234,587,1099,2702/full/0/default.jpg", "prev_meeting_iiif_url")</f>
        <v>prev_meeting_iiif_url</v>
      </c>
      <c r="Z314" t="s">
        <v>33</v>
      </c>
      <c r="AA314" t="s">
        <v>1377</v>
      </c>
      <c r="AB314" t="str">
        <f>HYPERLINK("https://images.diginfra.net/framed3.html?imagesetuuid=4a630f3a-34aa-4b1a-92d1-c32d4455e96f&amp;uri=https://images.diginfra.net/iiif/NL-HaNA_1.01.02/3829/NL-HaNA_1.01.02_3829_0401.jpg", "next_meeting_viewer_url")</f>
        <v>next_meeting_viewer_url</v>
      </c>
      <c r="AC314" t="str">
        <f>HYPERLINK("https://images.diginfra.net/iiif/NL-HaNA_1.01.02/3829/NL-HaNA_1.01.02_3829_0401.jpg/2444,2522,1067,837/full/0/default.jpg", "next_meeting_iiif_url")</f>
        <v>next_meeting_iiif_url</v>
      </c>
    </row>
    <row r="315" spans="1:29" x14ac:dyDescent="0.2">
      <c r="A315" t="s">
        <v>1378</v>
      </c>
      <c r="B315" t="s">
        <v>48</v>
      </c>
      <c r="C315" t="s">
        <v>1379</v>
      </c>
      <c r="D315" t="b">
        <v>1</v>
      </c>
      <c r="E315" t="b">
        <v>1</v>
      </c>
      <c r="I315" t="s">
        <v>1380</v>
      </c>
      <c r="J315">
        <v>3807</v>
      </c>
      <c r="K315">
        <v>374</v>
      </c>
      <c r="L315">
        <v>3349</v>
      </c>
      <c r="M315">
        <v>604</v>
      </c>
      <c r="N315">
        <f t="shared" si="6"/>
        <v>748</v>
      </c>
      <c r="O315">
        <v>747</v>
      </c>
      <c r="P315">
        <v>1</v>
      </c>
      <c r="Q315">
        <v>0</v>
      </c>
      <c r="R315">
        <v>7</v>
      </c>
      <c r="S315" t="s">
        <v>33</v>
      </c>
      <c r="T315" t="str">
        <f>HYPERLINK("https://images.diginfra.net/framed3.html?imagesetuuid=9cfa33f1-d711-4626-afe8-d82541dc4b2a&amp;uri=https://images.diginfra.net/iiif/NL-HaNA_1.01.02/3807/NL-HaNA_1.01.02_3807_0374.jpg", "viewer_url")</f>
        <v>viewer_url</v>
      </c>
      <c r="U315" t="str">
        <f>HYPERLINK("https://images.diginfra.net/iiif/NL-HaNA_1.01.02/3807/NL-HaNA_1.01.02_3807_0374.jpg/3349,604,908,2663/full/0/default.jpg", "iiif_url")</f>
        <v>iiif_url</v>
      </c>
      <c r="V315" t="s">
        <v>33</v>
      </c>
      <c r="W315" t="s">
        <v>1381</v>
      </c>
      <c r="X315" t="str">
        <f>HYPERLINK("https://images.diginfra.net/framed3.html?imagesetuuid=9cfa33f1-d711-4626-afe8-d82541dc4b2a&amp;uri=https://images.diginfra.net/iiif/NL-HaNA_1.01.02/3807/NL-HaNA_1.01.02_3807_0373.jpg", "prev_meeting_viewer_url")</f>
        <v>prev_meeting_viewer_url</v>
      </c>
      <c r="Y315" t="str">
        <f>HYPERLINK("https://images.diginfra.net/iiif/NL-HaNA_1.01.02/3807/NL-HaNA_1.01.02_3807_0373.jpg/1115,2007,1112,1365/full/0/default.jpg", "prev_meeting_iiif_url")</f>
        <v>prev_meeting_iiif_url</v>
      </c>
      <c r="Z315" t="s">
        <v>33</v>
      </c>
      <c r="AA315" t="s">
        <v>1382</v>
      </c>
      <c r="AB315" t="str">
        <f>HYPERLINK("https://images.diginfra.net/framed3.html?imagesetuuid=9cfa33f1-d711-4626-afe8-d82541dc4b2a&amp;uri=https://images.diginfra.net/iiif/NL-HaNA_1.01.02/3807/NL-HaNA_1.01.02_3807_0375.jpg", "next_meeting_viewer_url")</f>
        <v>next_meeting_viewer_url</v>
      </c>
      <c r="AC315" t="str">
        <f>HYPERLINK("https://images.diginfra.net/iiif/NL-HaNA_1.01.02/3807/NL-HaNA_1.01.02_3807_0375.jpg/198,1532,1100,1886/full/0/default.jpg", "next_meeting_iiif_url")</f>
        <v>next_meeting_iiif_url</v>
      </c>
    </row>
    <row r="316" spans="1:29" x14ac:dyDescent="0.2">
      <c r="A316" t="s">
        <v>1383</v>
      </c>
      <c r="B316" t="s">
        <v>37</v>
      </c>
      <c r="C316" t="s">
        <v>1384</v>
      </c>
      <c r="D316" t="b">
        <v>1</v>
      </c>
      <c r="E316" t="b">
        <v>1</v>
      </c>
      <c r="I316" t="s">
        <v>1385</v>
      </c>
      <c r="J316">
        <v>3800</v>
      </c>
      <c r="K316">
        <v>283</v>
      </c>
      <c r="L316">
        <v>401</v>
      </c>
      <c r="M316">
        <v>645</v>
      </c>
      <c r="N316">
        <f t="shared" si="6"/>
        <v>566</v>
      </c>
      <c r="O316">
        <v>564</v>
      </c>
      <c r="P316">
        <v>0</v>
      </c>
      <c r="Q316">
        <v>1</v>
      </c>
      <c r="R316">
        <v>0</v>
      </c>
      <c r="S316" t="s">
        <v>33</v>
      </c>
      <c r="T316" t="str">
        <f>HYPERLINK("https://images.diginfra.net/framed3.html?imagesetuuid=a9adb8ed-3212-4745-a472-51257845b9e2&amp;uri=https://images.diginfra.net/iiif/NL-HaNA_1.01.02/3800/NL-HaNA_1.01.02_3800_0283.jpg", "viewer_url")</f>
        <v>viewer_url</v>
      </c>
      <c r="U316" t="str">
        <f>HYPERLINK("https://images.diginfra.net/iiif/NL-HaNA_1.01.02/3800/NL-HaNA_1.01.02_3800_0283.jpg/401,645,919,2750/full/0/default.jpg", "iiif_url")</f>
        <v>iiif_url</v>
      </c>
      <c r="V316" t="s">
        <v>33</v>
      </c>
      <c r="W316" t="s">
        <v>1386</v>
      </c>
      <c r="X316" t="str">
        <f>HYPERLINK("https://images.diginfra.net/framed3.html?imagesetuuid=a9adb8ed-3212-4745-a472-51257845b9e2&amp;uri=https://images.diginfra.net/iiif/NL-HaNA_1.01.02/3800/NL-HaNA_1.01.02_3800_0282.jpg", "prev_meeting_viewer_url")</f>
        <v>prev_meeting_viewer_url</v>
      </c>
      <c r="Y316" t="str">
        <f>HYPERLINK("https://images.diginfra.net/iiif/NL-HaNA_1.01.02/3800/NL-HaNA_1.01.02_3800_0282.jpg/2334,570,1103,2887/full/0/default.jpg", "prev_meeting_iiif_url")</f>
        <v>prev_meeting_iiif_url</v>
      </c>
      <c r="Z316" t="s">
        <v>33</v>
      </c>
      <c r="AA316" t="s">
        <v>1387</v>
      </c>
      <c r="AB316" t="str">
        <f>HYPERLINK("https://images.diginfra.net/framed3.html?imagesetuuid=a9adb8ed-3212-4745-a472-51257845b9e2&amp;uri=https://images.diginfra.net/iiif/NL-HaNA_1.01.02/3800/NL-HaNA_1.01.02_3800_0284.jpg", "next_meeting_viewer_url")</f>
        <v>next_meeting_viewer_url</v>
      </c>
      <c r="AC316" t="str">
        <f>HYPERLINK("https://images.diginfra.net/iiif/NL-HaNA_1.01.02/3800/NL-HaNA_1.01.02_3800_0284.jpg/1261,1275,1105,2140/full/0/default.jpg", "next_meeting_iiif_url")</f>
        <v>next_meeting_iiif_url</v>
      </c>
    </row>
    <row r="317" spans="1:29" x14ac:dyDescent="0.2">
      <c r="A317" t="s">
        <v>1388</v>
      </c>
      <c r="B317" t="s">
        <v>63</v>
      </c>
      <c r="D317" t="b">
        <v>0</v>
      </c>
      <c r="E317" t="b">
        <v>0</v>
      </c>
      <c r="I317" t="s">
        <v>1389</v>
      </c>
      <c r="J317">
        <v>3822</v>
      </c>
      <c r="K317">
        <v>211</v>
      </c>
      <c r="N317">
        <f t="shared" si="6"/>
        <v>422</v>
      </c>
      <c r="O317">
        <v>421</v>
      </c>
      <c r="P317">
        <v>1</v>
      </c>
      <c r="Q317">
        <v>3</v>
      </c>
      <c r="R317">
        <v>0</v>
      </c>
      <c r="S317" t="s">
        <v>33</v>
      </c>
      <c r="T317" t="str">
        <f>HYPERLINK("https://images.diginfra.net/framed3.html?imagesetuuid=e0965315-891d-46c1-9dac-fc6b729921cf&amp;uri=https://images.diginfra.net/iiif/NL-HaNA_1.01.02/3822/NL-HaNA_1.01.02_3822_0211.jpg", "viewer_url")</f>
        <v>viewer_url</v>
      </c>
      <c r="U317" t="str">
        <f>HYPERLINK("https://images.diginfra.net/iiif/NL-HaNA_1.01.02/3822/NL-HaNA_1.01.02_3822_0211.jpg/3332,1220,1064,2148/full/0/default.jpg", "iiif_url")</f>
        <v>iiif_url</v>
      </c>
      <c r="V317" t="s">
        <v>33</v>
      </c>
      <c r="W317" t="s">
        <v>814</v>
      </c>
      <c r="X317" t="str">
        <f>HYPERLINK("https://images.diginfra.net/framed3.html?imagesetuuid=e0965315-891d-46c1-9dac-fc6b729921cf&amp;uri=https://images.diginfra.net/iiif/NL-HaNA_1.01.02/3822/NL-HaNA_1.01.02_3822_0208.jpg", "prev_meeting_viewer_url")</f>
        <v>prev_meeting_viewer_url</v>
      </c>
      <c r="Y317" t="str">
        <f>HYPERLINK("https://images.diginfra.net/iiif/NL-HaNA_1.01.02/3822/NL-HaNA_1.01.02_3822_0208.jpg/2422,2098,1006,1234/full/0/default.jpg", "prev_meeting_iiif_url")</f>
        <v>prev_meeting_iiif_url</v>
      </c>
      <c r="Z317" t="s">
        <v>33</v>
      </c>
      <c r="AA317" t="s">
        <v>1390</v>
      </c>
      <c r="AB317" t="str">
        <f>HYPERLINK("https://images.diginfra.net/framed3.html?imagesetuuid=e0965315-891d-46c1-9dac-fc6b729921cf&amp;uri=https://images.diginfra.net/iiif/NL-HaNA_1.01.02/3822/NL-HaNA_1.01.02_3822_0211.jpg", "next_meeting_viewer_url")</f>
        <v>next_meeting_viewer_url</v>
      </c>
      <c r="AC317" t="str">
        <f>HYPERLINK("https://images.diginfra.net/iiif/NL-HaNA_1.01.02/3822/NL-HaNA_1.01.02_3822_0211.jpg/3332,1220,1064,2148/full/0/default.jpg", "next_meeting_iiif_url")</f>
        <v>next_meeting_iiif_url</v>
      </c>
    </row>
    <row r="318" spans="1:29" x14ac:dyDescent="0.2">
      <c r="A318" t="s">
        <v>1391</v>
      </c>
      <c r="B318" t="s">
        <v>48</v>
      </c>
      <c r="C318" t="s">
        <v>1392</v>
      </c>
      <c r="D318" t="b">
        <v>1</v>
      </c>
      <c r="E318" t="b">
        <v>1</v>
      </c>
      <c r="I318" t="s">
        <v>1393</v>
      </c>
      <c r="J318">
        <v>3823</v>
      </c>
      <c r="K318">
        <v>135</v>
      </c>
      <c r="L318">
        <v>478</v>
      </c>
      <c r="M318">
        <v>2094</v>
      </c>
      <c r="N318">
        <f t="shared" si="6"/>
        <v>270</v>
      </c>
      <c r="O318">
        <v>268</v>
      </c>
      <c r="P318">
        <v>0</v>
      </c>
      <c r="Q318">
        <v>1</v>
      </c>
      <c r="R318">
        <v>0</v>
      </c>
      <c r="S318" t="s">
        <v>33</v>
      </c>
      <c r="T318" t="str">
        <f>HYPERLINK("https://images.diginfra.net/framed3.html?imagesetuuid=08f55768-66d4-4560-816c-70f4ea910842&amp;uri=https://images.diginfra.net/iiif/NL-HaNA_1.01.02/3823/NL-HaNA_1.01.02_3823_0135.jpg", "viewer_url")</f>
        <v>viewer_url</v>
      </c>
      <c r="U318" t="str">
        <f>HYPERLINK("https://images.diginfra.net/iiif/NL-HaNA_1.01.02/3823/NL-HaNA_1.01.02_3823_0135.jpg/478,2094,818,1168/full/0/default.jpg", "iiif_url")</f>
        <v>iiif_url</v>
      </c>
      <c r="V318" t="s">
        <v>33</v>
      </c>
      <c r="W318" t="s">
        <v>405</v>
      </c>
      <c r="X318" t="str">
        <f>HYPERLINK("https://images.diginfra.net/framed3.html?imagesetuuid=08f55768-66d4-4560-816c-70f4ea910842&amp;uri=https://images.diginfra.net/iiif/NL-HaNA_1.01.02/3823/NL-HaNA_1.01.02_3823_0134.jpg", "prev_meeting_viewer_url")</f>
        <v>prev_meeting_viewer_url</v>
      </c>
      <c r="Y318" t="str">
        <f>HYPERLINK("https://images.diginfra.net/iiif/NL-HaNA_1.01.02/3823/NL-HaNA_1.01.02_3823_0134.jpg/1312,2324,1013,984/full/0/default.jpg", "prev_meeting_iiif_url")</f>
        <v>prev_meeting_iiif_url</v>
      </c>
      <c r="Z318" t="s">
        <v>33</v>
      </c>
      <c r="AA318" t="s">
        <v>940</v>
      </c>
      <c r="AB318" t="str">
        <f>HYPERLINK("https://images.diginfra.net/framed3.html?imagesetuuid=08f55768-66d4-4560-816c-70f4ea910842&amp;uri=https://images.diginfra.net/iiif/NL-HaNA_1.01.02/3823/NL-HaNA_1.01.02_3823_0136.jpg", "next_meeting_viewer_url")</f>
        <v>next_meeting_viewer_url</v>
      </c>
      <c r="AC318" t="str">
        <f>HYPERLINK("https://images.diginfra.net/iiif/NL-HaNA_1.01.02/3823/NL-HaNA_1.01.02_3823_0136.jpg/3361,1442,1065,1964/full/0/default.jpg", "next_meeting_iiif_url")</f>
        <v>next_meeting_iiif_url</v>
      </c>
    </row>
    <row r="319" spans="1:29" x14ac:dyDescent="0.2">
      <c r="A319" t="s">
        <v>1394</v>
      </c>
      <c r="B319" t="s">
        <v>37</v>
      </c>
      <c r="C319" t="s">
        <v>1395</v>
      </c>
      <c r="D319" t="b">
        <v>1</v>
      </c>
      <c r="E319" t="b">
        <v>1</v>
      </c>
      <c r="I319" t="s">
        <v>1396</v>
      </c>
      <c r="J319">
        <v>3799</v>
      </c>
      <c r="K319">
        <v>70</v>
      </c>
      <c r="L319">
        <v>2468</v>
      </c>
      <c r="M319">
        <v>437</v>
      </c>
      <c r="N319">
        <f t="shared" si="6"/>
        <v>140</v>
      </c>
      <c r="O319">
        <v>139</v>
      </c>
      <c r="P319">
        <v>0</v>
      </c>
      <c r="Q319">
        <v>0</v>
      </c>
      <c r="R319">
        <v>0</v>
      </c>
      <c r="S319" t="s">
        <v>33</v>
      </c>
      <c r="T319" t="str">
        <f>HYPERLINK("https://images.diginfra.net/framed3.html?imagesetuuid=4246d97e-5e7a-4171-b55e-14e0b73f61db&amp;uri=https://images.diginfra.net/iiif/NL-HaNA_1.01.02/3799/NL-HaNA_1.01.02_3799_0070.jpg", "viewer_url")</f>
        <v>viewer_url</v>
      </c>
      <c r="U319" t="str">
        <f>HYPERLINK("https://images.diginfra.net/iiif/NL-HaNA_1.01.02/3799/NL-HaNA_1.01.02_3799_0070.jpg/2468,437,901,2923/full/0/default.jpg", "iiif_url")</f>
        <v>iiif_url</v>
      </c>
      <c r="V319" t="s">
        <v>33</v>
      </c>
      <c r="W319" t="s">
        <v>1397</v>
      </c>
      <c r="X319" t="str">
        <f>HYPERLINK("https://images.diginfra.net/framed3.html?imagesetuuid=4246d97e-5e7a-4171-b55e-14e0b73f61db&amp;uri=https://images.diginfra.net/iiif/NL-HaNA_1.01.02/3799/NL-HaNA_1.01.02_3799_0069.jpg", "prev_meeting_viewer_url")</f>
        <v>prev_meeting_viewer_url</v>
      </c>
      <c r="Y319" t="str">
        <f>HYPERLINK("https://images.diginfra.net/iiif/NL-HaNA_1.01.02/3799/NL-HaNA_1.01.02_3799_0069.jpg/3320,1587,1092,1810/full/0/default.jpg", "prev_meeting_iiif_url")</f>
        <v>prev_meeting_iiif_url</v>
      </c>
      <c r="Z319" t="s">
        <v>33</v>
      </c>
      <c r="AA319" t="s">
        <v>413</v>
      </c>
      <c r="AB319" t="str">
        <f>HYPERLINK("https://images.diginfra.net/framed3.html?imagesetuuid=4246d97e-5e7a-4171-b55e-14e0b73f61db&amp;uri=https://images.diginfra.net/iiif/NL-HaNA_1.01.02/3799/NL-HaNA_1.01.02_3799_0071.jpg", "next_meeting_viewer_url")</f>
        <v>next_meeting_viewer_url</v>
      </c>
      <c r="AC319" t="str">
        <f>HYPERLINK("https://images.diginfra.net/iiif/NL-HaNA_1.01.02/3799/NL-HaNA_1.01.02_3799_0071.jpg/421,1055,1095,2418/full/0/default.jpg", "next_meeting_iiif_url")</f>
        <v>next_meeting_iiif_url</v>
      </c>
    </row>
    <row r="320" spans="1:29" x14ac:dyDescent="0.2">
      <c r="A320" t="s">
        <v>1398</v>
      </c>
      <c r="B320" t="s">
        <v>30</v>
      </c>
      <c r="C320" t="s">
        <v>1399</v>
      </c>
      <c r="D320" t="b">
        <v>1</v>
      </c>
      <c r="E320" t="b">
        <v>1</v>
      </c>
      <c r="I320" t="s">
        <v>1400</v>
      </c>
      <c r="J320">
        <v>3768</v>
      </c>
      <c r="K320">
        <v>696</v>
      </c>
      <c r="L320">
        <v>1241</v>
      </c>
      <c r="M320">
        <v>522</v>
      </c>
      <c r="N320">
        <f t="shared" si="6"/>
        <v>1392</v>
      </c>
      <c r="O320">
        <v>1390</v>
      </c>
      <c r="P320">
        <v>2</v>
      </c>
      <c r="Q320">
        <v>1</v>
      </c>
      <c r="R320">
        <v>0</v>
      </c>
      <c r="S320" t="s">
        <v>33</v>
      </c>
      <c r="T320" t="str">
        <f>HYPERLINK("https://images.diginfra.net/framed3.html?imagesetuuid=1acf58b1-bf15-476d-be78-c088e43e81b9&amp;uri=https://images.diginfra.net/iiif/NL-HaNA_1.01.02/3768/NL-HaNA_1.01.02_3768_0696.jpg", "viewer_url")</f>
        <v>viewer_url</v>
      </c>
      <c r="U320" t="str">
        <f>HYPERLINK("https://images.diginfra.net/iiif/NL-HaNA_1.01.02/3768/NL-HaNA_1.01.02_3768_0696.jpg/1241,522,919,2776/full/0/default.jpg", "iiif_url")</f>
        <v>iiif_url</v>
      </c>
      <c r="V320" t="s">
        <v>33</v>
      </c>
      <c r="W320" t="s">
        <v>1401</v>
      </c>
      <c r="X320" t="str">
        <f>HYPERLINK("https://images.diginfra.net/framed3.html?imagesetuuid=1acf58b1-bf15-476d-be78-c088e43e81b9&amp;uri=https://images.diginfra.net/iiif/NL-HaNA_1.01.02/3768/NL-HaNA_1.01.02_3768_0693.jpg", "prev_meeting_viewer_url")</f>
        <v>prev_meeting_viewer_url</v>
      </c>
      <c r="Y320" t="str">
        <f>HYPERLINK("https://images.diginfra.net/iiif/NL-HaNA_1.01.02/3768/NL-HaNA_1.01.02_3768_0693.jpg/365,2540,1046,790/full/0/default.jpg", "prev_meeting_iiif_url")</f>
        <v>prev_meeting_iiif_url</v>
      </c>
      <c r="Z320" t="s">
        <v>33</v>
      </c>
      <c r="AA320" t="s">
        <v>1402</v>
      </c>
      <c r="AB320" t="str">
        <f>HYPERLINK("https://images.diginfra.net/framed3.html?imagesetuuid=1acf58b1-bf15-476d-be78-c088e43e81b9&amp;uri=https://images.diginfra.net/iiif/NL-HaNA_1.01.02/3768/NL-HaNA_1.01.02_3768_0697.jpg", "next_meeting_viewer_url")</f>
        <v>next_meeting_viewer_url</v>
      </c>
      <c r="AC320" t="str">
        <f>HYPERLINK("https://images.diginfra.net/iiif/NL-HaNA_1.01.02/3768/NL-HaNA_1.01.02_3768_0697.jpg/1267,2805,1044,555/full/0/default.jpg", "next_meeting_iiif_url")</f>
        <v>next_meeting_iiif_url</v>
      </c>
    </row>
    <row r="321" spans="1:29" x14ac:dyDescent="0.2">
      <c r="A321" t="s">
        <v>1403</v>
      </c>
      <c r="B321" t="s">
        <v>85</v>
      </c>
      <c r="C321" t="s">
        <v>1404</v>
      </c>
      <c r="D321" t="b">
        <v>1</v>
      </c>
      <c r="E321" t="b">
        <v>1</v>
      </c>
      <c r="I321" t="s">
        <v>1405</v>
      </c>
      <c r="J321">
        <v>3839</v>
      </c>
      <c r="K321">
        <v>54</v>
      </c>
      <c r="L321">
        <v>3412</v>
      </c>
      <c r="M321">
        <v>1438</v>
      </c>
      <c r="N321">
        <f t="shared" si="6"/>
        <v>108</v>
      </c>
      <c r="O321">
        <v>107</v>
      </c>
      <c r="P321">
        <v>1</v>
      </c>
      <c r="Q321">
        <v>2</v>
      </c>
      <c r="R321">
        <v>0</v>
      </c>
      <c r="S321" t="s">
        <v>33</v>
      </c>
      <c r="T321" t="str">
        <f>HYPERLINK("https://images.diginfra.net/framed3.html?imagesetuuid=bd074b51-3206-4dd9-b65b-2a404481d480&amp;uri=https://images.diginfra.net/iiif/NL-HaNA_1.01.02/3839/NL-HaNA_1.01.02_3839_0054.jpg", "viewer_url")</f>
        <v>viewer_url</v>
      </c>
      <c r="U321" t="str">
        <f>HYPERLINK("https://images.diginfra.net/iiif/NL-HaNA_1.01.02/3839/NL-HaNA_1.01.02_3839_0054.jpg/3412,1438,902,1908/full/0/default.jpg", "iiif_url")</f>
        <v>iiif_url</v>
      </c>
      <c r="V321" t="s">
        <v>33</v>
      </c>
      <c r="W321" t="s">
        <v>1406</v>
      </c>
      <c r="X321" t="str">
        <f>HYPERLINK("https://images.diginfra.net/framed3.html?imagesetuuid=bd074b51-3206-4dd9-b65b-2a404481d480&amp;uri=https://images.diginfra.net/iiif/NL-HaNA_1.01.02/3839/NL-HaNA_1.01.02_3839_0053.jpg", "prev_meeting_viewer_url")</f>
        <v>prev_meeting_viewer_url</v>
      </c>
      <c r="Y321" t="str">
        <f>HYPERLINK("https://images.diginfra.net/iiif/NL-HaNA_1.01.02/3839/NL-HaNA_1.01.02_3839_0053.jpg/2430,2893,1013,550/full/0/default.jpg", "prev_meeting_iiif_url")</f>
        <v>prev_meeting_iiif_url</v>
      </c>
      <c r="Z321" t="s">
        <v>33</v>
      </c>
      <c r="AA321" t="s">
        <v>1407</v>
      </c>
      <c r="AB321" t="str">
        <f>HYPERLINK("https://images.diginfra.net/framed3.html?imagesetuuid=bd074b51-3206-4dd9-b65b-2a404481d480&amp;uri=https://images.diginfra.net/iiif/NL-HaNA_1.01.02/3839/NL-HaNA_1.01.02_3839_0060.jpg", "next_meeting_viewer_url")</f>
        <v>next_meeting_viewer_url</v>
      </c>
      <c r="AC321" t="str">
        <f>HYPERLINK("https://images.diginfra.net/iiif/NL-HaNA_1.01.02/3839/NL-HaNA_1.01.02_3839_0060.jpg/3281,1033,1079,2374/full/0/default.jpg", "next_meeting_iiif_url")</f>
        <v>next_meeting_iiif_url</v>
      </c>
    </row>
    <row r="322" spans="1:29" x14ac:dyDescent="0.2">
      <c r="A322" t="s">
        <v>1408</v>
      </c>
      <c r="B322" t="s">
        <v>59</v>
      </c>
      <c r="C322" t="s">
        <v>1409</v>
      </c>
      <c r="D322" t="b">
        <v>1</v>
      </c>
      <c r="E322" t="b">
        <v>1</v>
      </c>
      <c r="I322" t="s">
        <v>1410</v>
      </c>
      <c r="J322">
        <v>3797</v>
      </c>
      <c r="K322">
        <v>103</v>
      </c>
      <c r="L322">
        <v>3545</v>
      </c>
      <c r="M322">
        <v>728</v>
      </c>
      <c r="N322">
        <f t="shared" ref="N322:N385" si="7">K322*2</f>
        <v>206</v>
      </c>
      <c r="O322">
        <v>205</v>
      </c>
      <c r="P322">
        <v>1</v>
      </c>
      <c r="Q322">
        <v>1</v>
      </c>
      <c r="R322">
        <v>0</v>
      </c>
      <c r="S322" t="s">
        <v>33</v>
      </c>
      <c r="T322" t="str">
        <f>HYPERLINK("https://images.diginfra.net/framed3.html?imagesetuuid=02516f87-475f-4001-a332-8d96f5aecb93&amp;uri=https://images.diginfra.net/iiif/NL-HaNA_1.01.02/3797/NL-HaNA_1.01.02_3797_0103.jpg", "viewer_url")</f>
        <v>viewer_url</v>
      </c>
      <c r="U322" t="str">
        <f>HYPERLINK("https://images.diginfra.net/iiif/NL-HaNA_1.01.02/3797/NL-HaNA_1.01.02_3797_0103.jpg/3545,728,954,2594/full/0/default.jpg", "iiif_url")</f>
        <v>iiif_url</v>
      </c>
      <c r="V322" t="s">
        <v>33</v>
      </c>
      <c r="W322" t="s">
        <v>789</v>
      </c>
      <c r="X322" t="str">
        <f>HYPERLINK("https://images.diginfra.net/framed3.html?imagesetuuid=02516f87-475f-4001-a332-8d96f5aecb93&amp;uri=https://images.diginfra.net/iiif/NL-HaNA_1.01.02/3797/NL-HaNA_1.01.02_3797_0103.jpg", "prev_meeting_viewer_url")</f>
        <v>prev_meeting_viewer_url</v>
      </c>
      <c r="Y322" t="str">
        <f>HYPERLINK("https://images.diginfra.net/iiif/NL-HaNA_1.01.02/3797/NL-HaNA_1.01.02_3797_0103.jpg/416,1787,1076,1596/full/0/default.jpg", "prev_meeting_iiif_url")</f>
        <v>prev_meeting_iiif_url</v>
      </c>
      <c r="Z322" t="s">
        <v>33</v>
      </c>
      <c r="AA322" t="s">
        <v>787</v>
      </c>
      <c r="AB322" t="str">
        <f>HYPERLINK("https://images.diginfra.net/framed3.html?imagesetuuid=02516f87-475f-4001-a332-8d96f5aecb93&amp;uri=https://images.diginfra.net/iiif/NL-HaNA_1.01.02/3797/NL-HaNA_1.01.02_3797_0105.jpg", "next_meeting_viewer_url")</f>
        <v>next_meeting_viewer_url</v>
      </c>
      <c r="AC322" t="str">
        <f>HYPERLINK("https://images.diginfra.net/iiif/NL-HaNA_1.01.02/3797/NL-HaNA_1.01.02_3797_0105.jpg/2543,812,1101,2640/full/0/default.jpg", "next_meeting_iiif_url")</f>
        <v>next_meeting_iiif_url</v>
      </c>
    </row>
    <row r="323" spans="1:29" x14ac:dyDescent="0.2">
      <c r="A323" t="s">
        <v>1411</v>
      </c>
      <c r="B323" t="s">
        <v>37</v>
      </c>
      <c r="C323" t="s">
        <v>1412</v>
      </c>
      <c r="D323" t="b">
        <v>1</v>
      </c>
      <c r="E323" t="b">
        <v>1</v>
      </c>
      <c r="I323" t="s">
        <v>1413</v>
      </c>
      <c r="J323">
        <v>3796</v>
      </c>
      <c r="K323">
        <v>486</v>
      </c>
      <c r="L323">
        <v>2569</v>
      </c>
      <c r="M323">
        <v>1063</v>
      </c>
      <c r="N323">
        <f t="shared" si="7"/>
        <v>972</v>
      </c>
      <c r="O323">
        <v>971</v>
      </c>
      <c r="P323">
        <v>0</v>
      </c>
      <c r="Q323">
        <v>3</v>
      </c>
      <c r="R323">
        <v>0</v>
      </c>
      <c r="S323" t="s">
        <v>33</v>
      </c>
      <c r="T323" t="str">
        <f>HYPERLINK("https://images.diginfra.net/framed3.html?imagesetuuid=ece8f80b-0549-4e73-82ff-af47ed8525ac&amp;uri=https://images.diginfra.net/iiif/NL-HaNA_1.01.02/3796/NL-HaNA_1.01.02_3796_0486.jpg", "viewer_url")</f>
        <v>viewer_url</v>
      </c>
      <c r="U323" t="str">
        <f>HYPERLINK("https://images.diginfra.net/iiif/NL-HaNA_1.01.02/3796/NL-HaNA_1.01.02_3796_0494.jpg/2569,1063,895,2239/full/0/default.jpg", "iiif_url")</f>
        <v>iiif_url</v>
      </c>
      <c r="Z323" t="s">
        <v>33</v>
      </c>
      <c r="AA323" t="s">
        <v>1414</v>
      </c>
      <c r="AB323" t="str">
        <f>HYPERLINK("https://images.diginfra.net/framed3.html?imagesetuuid=ece8f80b-0549-4e73-82ff-af47ed8525ac&amp;uri=https://images.diginfra.net/iiif/NL-HaNA_1.01.02/3796/NL-HaNA_1.01.02_3796_0495.jpg", "next_meeting_viewer_url")</f>
        <v>next_meeting_viewer_url</v>
      </c>
      <c r="AC323" t="str">
        <f>HYPERLINK("https://images.diginfra.net/iiif/NL-HaNA_1.01.02/3796/NL-HaNA_1.01.02_3796_0495.jpg/3446,1324,1212,2054/full/0/default.jpg", "next_meeting_iiif_url")</f>
        <v>next_meeting_iiif_url</v>
      </c>
    </row>
    <row r="324" spans="1:29" x14ac:dyDescent="0.2">
      <c r="A324" t="s">
        <v>1415</v>
      </c>
      <c r="B324" t="s">
        <v>79</v>
      </c>
      <c r="C324" t="s">
        <v>1416</v>
      </c>
      <c r="D324" t="b">
        <v>1</v>
      </c>
      <c r="E324" t="b">
        <v>1</v>
      </c>
      <c r="I324" t="s">
        <v>1417</v>
      </c>
      <c r="J324">
        <v>3819</v>
      </c>
      <c r="K324">
        <v>107</v>
      </c>
      <c r="L324">
        <v>342</v>
      </c>
      <c r="M324">
        <v>1241</v>
      </c>
      <c r="N324">
        <f t="shared" si="7"/>
        <v>214</v>
      </c>
      <c r="O324">
        <v>212</v>
      </c>
      <c r="P324">
        <v>0</v>
      </c>
      <c r="Q324">
        <v>1</v>
      </c>
      <c r="R324">
        <v>0</v>
      </c>
      <c r="S324" t="s">
        <v>33</v>
      </c>
      <c r="T324" t="str">
        <f>HYPERLINK("https://images.diginfra.net/framed3.html?imagesetuuid=711b4f86-3dbd-47ca-af9d-52eb1c30bc58&amp;uri=https://images.diginfra.net/iiif/NL-HaNA_1.01.02/3819/NL-HaNA_1.01.02_3819_0107.jpg", "viewer_url")</f>
        <v>viewer_url</v>
      </c>
      <c r="U324" t="str">
        <f>HYPERLINK("https://images.diginfra.net/iiif/NL-HaNA_1.01.02/3819/NL-HaNA_1.01.02_3819_0107.jpg/342,1241,906,2037/full/0/default.jpg", "iiif_url")</f>
        <v>iiif_url</v>
      </c>
      <c r="V324" t="s">
        <v>33</v>
      </c>
      <c r="W324" t="s">
        <v>1418</v>
      </c>
      <c r="X324" t="str">
        <f>HYPERLINK("https://images.diginfra.net/framed3.html?imagesetuuid=711b4f86-3dbd-47ca-af9d-52eb1c30bc58&amp;uri=https://images.diginfra.net/iiif/NL-HaNA_1.01.02/3819/NL-HaNA_1.01.02_3819_0105.jpg", "prev_meeting_viewer_url")</f>
        <v>prev_meeting_viewer_url</v>
      </c>
      <c r="Y324" t="str">
        <f>HYPERLINK("https://images.diginfra.net/iiif/NL-HaNA_1.01.02/3819/NL-HaNA_1.01.02_3819_0105.jpg/3450,3087,875,318/full/0/default.jpg", "prev_meeting_iiif_url")</f>
        <v>prev_meeting_iiif_url</v>
      </c>
      <c r="Z324" t="s">
        <v>33</v>
      </c>
      <c r="AA324" t="s">
        <v>1419</v>
      </c>
      <c r="AB324" t="str">
        <f>HYPERLINK("https://images.diginfra.net/framed3.html?imagesetuuid=711b4f86-3dbd-47ca-af9d-52eb1c30bc58&amp;uri=https://images.diginfra.net/iiif/NL-HaNA_1.01.02/3819/NL-HaNA_1.01.02_3819_0107.jpg", "next_meeting_viewer_url")</f>
        <v>next_meeting_viewer_url</v>
      </c>
      <c r="AC324" t="str">
        <f>HYPERLINK("https://images.diginfra.net/iiif/NL-HaNA_1.01.02/3819/NL-HaNA_1.01.02_3819_0107.jpg/3331,1662,1099,1642/full/0/default.jpg", "next_meeting_iiif_url")</f>
        <v>next_meeting_iiif_url</v>
      </c>
    </row>
    <row r="325" spans="1:29" x14ac:dyDescent="0.2">
      <c r="A325" t="s">
        <v>1420</v>
      </c>
      <c r="B325" t="s">
        <v>63</v>
      </c>
      <c r="D325" t="b">
        <v>0</v>
      </c>
      <c r="E325" t="b">
        <v>0</v>
      </c>
      <c r="I325" t="s">
        <v>1421</v>
      </c>
      <c r="J325">
        <v>3784</v>
      </c>
      <c r="K325">
        <v>45</v>
      </c>
      <c r="N325">
        <f t="shared" si="7"/>
        <v>90</v>
      </c>
      <c r="O325">
        <v>89</v>
      </c>
      <c r="P325">
        <v>0</v>
      </c>
      <c r="Q325">
        <v>0</v>
      </c>
      <c r="R325">
        <v>0</v>
      </c>
      <c r="S325" t="s">
        <v>33</v>
      </c>
      <c r="T325" t="str">
        <f>HYPERLINK("https://images.diginfra.net/framed3.html?imagesetuuid=cb2f6e2d-502d-41d8-a51c-455c64ed98c9&amp;uri=https://images.diginfra.net/iiif/NL-HaNA_1.01.02/3784/NL-HaNA_1.01.02_3784_0045.jpg", "viewer_url")</f>
        <v>viewer_url</v>
      </c>
      <c r="U325" t="str">
        <f>HYPERLINK("https://images.diginfra.net/iiif/NL-HaNA_1.01.02/3784/NL-HaNA_1.01.02_3784_0045.jpg/2477,1548,1066,1875/full/0/default.jpg", "iiif_url")</f>
        <v>iiif_url</v>
      </c>
      <c r="Z325" t="s">
        <v>33</v>
      </c>
      <c r="AA325" t="s">
        <v>1422</v>
      </c>
      <c r="AB325" t="str">
        <f>HYPERLINK("https://images.diginfra.net/framed3.html?imagesetuuid=cb2f6e2d-502d-41d8-a51c-455c64ed98c9&amp;uri=https://images.diginfra.net/iiif/NL-HaNA_1.01.02/3784/NL-HaNA_1.01.02_3784_0045.jpg", "next_meeting_viewer_url")</f>
        <v>next_meeting_viewer_url</v>
      </c>
      <c r="AC325" t="str">
        <f>HYPERLINK("https://images.diginfra.net/iiif/NL-HaNA_1.01.02/3784/NL-HaNA_1.01.02_3784_0045.jpg/2477,1548,1066,1875/full/0/default.jpg", "next_meeting_iiif_url")</f>
        <v>next_meeting_iiif_url</v>
      </c>
    </row>
    <row r="326" spans="1:29" x14ac:dyDescent="0.2">
      <c r="A326" t="s">
        <v>1423</v>
      </c>
      <c r="B326" t="s">
        <v>48</v>
      </c>
      <c r="C326" t="s">
        <v>1424</v>
      </c>
      <c r="D326" t="b">
        <v>1</v>
      </c>
      <c r="E326" t="b">
        <v>1</v>
      </c>
      <c r="I326" t="s">
        <v>1425</v>
      </c>
      <c r="J326">
        <v>3763</v>
      </c>
      <c r="K326">
        <v>385</v>
      </c>
      <c r="L326">
        <v>2461</v>
      </c>
      <c r="M326">
        <v>551</v>
      </c>
      <c r="N326">
        <f t="shared" si="7"/>
        <v>770</v>
      </c>
      <c r="O326">
        <v>769</v>
      </c>
      <c r="P326">
        <v>0</v>
      </c>
      <c r="Q326">
        <v>1</v>
      </c>
      <c r="R326">
        <v>0</v>
      </c>
      <c r="S326" t="s">
        <v>33</v>
      </c>
      <c r="T326" t="str">
        <f>HYPERLINK("https://images.diginfra.net/framed3.html?imagesetuuid=168ac05c-00de-43e1-bb35-d8e406b92363&amp;uri=https://images.diginfra.net/iiif/NL-HaNA_1.01.02/3763/NL-HaNA_1.01.02_3763_0385.jpg", "viewer_url")</f>
        <v>viewer_url</v>
      </c>
      <c r="U326" t="str">
        <f>HYPERLINK("https://images.diginfra.net/iiif/NL-HaNA_1.01.02/3763/NL-HaNA_1.01.02_3763_0385.jpg/2461,551,910,2716/full/0/default.jpg", "iiif_url")</f>
        <v>iiif_url</v>
      </c>
      <c r="V326" t="s">
        <v>33</v>
      </c>
      <c r="W326" t="s">
        <v>1426</v>
      </c>
      <c r="X326" t="str">
        <f>HYPERLINK("https://images.diginfra.net/framed3.html?imagesetuuid=168ac05c-00de-43e1-bb35-d8e406b92363&amp;uri=https://images.diginfra.net/iiif/NL-HaNA_1.01.02/3763/NL-HaNA_1.01.02_3763_0384.jpg", "prev_meeting_viewer_url")</f>
        <v>prev_meeting_viewer_url</v>
      </c>
      <c r="Y326" t="str">
        <f>HYPERLINK("https://images.diginfra.net/iiif/NL-HaNA_1.01.02/3763/NL-HaNA_1.01.02_3763_0384.jpg/245,2541,1029,788/full/0/default.jpg", "prev_meeting_iiif_url")</f>
        <v>prev_meeting_iiif_url</v>
      </c>
      <c r="Z326" t="s">
        <v>33</v>
      </c>
      <c r="AA326" t="s">
        <v>1427</v>
      </c>
      <c r="AB326" t="str">
        <f>HYPERLINK("https://images.diginfra.net/framed3.html?imagesetuuid=168ac05c-00de-43e1-bb35-d8e406b92363&amp;uri=https://images.diginfra.net/iiif/NL-HaNA_1.01.02/3763/NL-HaNA_1.01.02_3763_0387.jpg", "next_meeting_viewer_url")</f>
        <v>next_meeting_viewer_url</v>
      </c>
      <c r="AC326" t="str">
        <f>HYPERLINK("https://images.diginfra.net/iiif/NL-HaNA_1.01.02/3763/NL-HaNA_1.01.02_3763_0387.jpg/1186,703,1118,2663/full/0/default.jpg", "next_meeting_iiif_url")</f>
        <v>next_meeting_iiif_url</v>
      </c>
    </row>
    <row r="327" spans="1:29" x14ac:dyDescent="0.2">
      <c r="A327" t="s">
        <v>1428</v>
      </c>
      <c r="B327" t="s">
        <v>59</v>
      </c>
      <c r="C327" t="s">
        <v>1429</v>
      </c>
      <c r="D327" t="b">
        <v>1</v>
      </c>
      <c r="E327" t="b">
        <v>1</v>
      </c>
      <c r="I327" t="s">
        <v>1430</v>
      </c>
      <c r="J327">
        <v>3794</v>
      </c>
      <c r="K327">
        <v>144</v>
      </c>
      <c r="L327">
        <v>2534</v>
      </c>
      <c r="M327">
        <v>596</v>
      </c>
      <c r="N327">
        <f t="shared" si="7"/>
        <v>288</v>
      </c>
      <c r="O327">
        <v>287</v>
      </c>
      <c r="P327">
        <v>0</v>
      </c>
      <c r="Q327">
        <v>1</v>
      </c>
      <c r="R327">
        <v>0</v>
      </c>
      <c r="S327" t="s">
        <v>33</v>
      </c>
      <c r="T327" t="str">
        <f>HYPERLINK("https://images.diginfra.net/framed3.html?imagesetuuid=5debb5c6-ae39-480e-845e-6e10690f8984&amp;uri=https://images.diginfra.net/iiif/NL-HaNA_1.01.02/3794/NL-HaNA_1.01.02_3794_0144.jpg", "viewer_url")</f>
        <v>viewer_url</v>
      </c>
      <c r="U327" t="str">
        <f>HYPERLINK("https://images.diginfra.net/iiif/NL-HaNA_1.01.02/3794/NL-HaNA_1.01.02_3794_0144.jpg/2534,596,896,2744/full/0/default.jpg", "iiif_url")</f>
        <v>iiif_url</v>
      </c>
      <c r="V327" t="s">
        <v>33</v>
      </c>
      <c r="W327" t="s">
        <v>1431</v>
      </c>
      <c r="X327" t="str">
        <f>HYPERLINK("https://images.diginfra.net/framed3.html?imagesetuuid=5debb5c6-ae39-480e-845e-6e10690f8984&amp;uri=https://images.diginfra.net/iiif/NL-HaNA_1.01.02/3794/NL-HaNA_1.01.02_3794_0143.jpg", "prev_meeting_viewer_url")</f>
        <v>prev_meeting_viewer_url</v>
      </c>
      <c r="Y327" t="str">
        <f>HYPERLINK("https://images.diginfra.net/iiif/NL-HaNA_1.01.02/3794/NL-HaNA_1.01.02_3794_0143.jpg/2419,749,1082,2566/full/0/default.jpg", "prev_meeting_iiif_url")</f>
        <v>prev_meeting_iiif_url</v>
      </c>
      <c r="Z327" t="s">
        <v>33</v>
      </c>
      <c r="AA327" t="s">
        <v>1432</v>
      </c>
      <c r="AB327" t="str">
        <f>HYPERLINK("https://images.diginfra.net/framed3.html?imagesetuuid=5debb5c6-ae39-480e-845e-6e10690f8984&amp;uri=https://images.diginfra.net/iiif/NL-HaNA_1.01.02/3794/NL-HaNA_1.01.02_3794_0144.jpg", "next_meeting_viewer_url")</f>
        <v>next_meeting_viewer_url</v>
      </c>
      <c r="AC327" t="str">
        <f>HYPERLINK("https://images.diginfra.net/iiif/NL-HaNA_1.01.02/3794/NL-HaNA_1.01.02_3794_0144.jpg/3374,1846,1077,1542/full/0/default.jpg", "next_meeting_iiif_url")</f>
        <v>next_meeting_iiif_url</v>
      </c>
    </row>
    <row r="328" spans="1:29" x14ac:dyDescent="0.2">
      <c r="A328" t="s">
        <v>1433</v>
      </c>
      <c r="B328" t="s">
        <v>48</v>
      </c>
      <c r="C328" t="s">
        <v>1377</v>
      </c>
      <c r="D328" t="b">
        <v>1</v>
      </c>
      <c r="E328" t="b">
        <v>1</v>
      </c>
      <c r="I328" t="s">
        <v>1375</v>
      </c>
      <c r="J328">
        <v>3829</v>
      </c>
      <c r="K328">
        <v>401</v>
      </c>
      <c r="L328">
        <v>2602</v>
      </c>
      <c r="M328">
        <v>2616</v>
      </c>
      <c r="N328">
        <f t="shared" si="7"/>
        <v>802</v>
      </c>
      <c r="O328">
        <v>801</v>
      </c>
      <c r="P328">
        <v>1</v>
      </c>
      <c r="Q328">
        <v>4</v>
      </c>
      <c r="R328">
        <v>0</v>
      </c>
      <c r="S328" t="s">
        <v>33</v>
      </c>
      <c r="T328" t="str">
        <f>HYPERLINK("https://images.diginfra.net/framed3.html?imagesetuuid=4a630f3a-34aa-4b1a-92d1-c32d4455e96f&amp;uri=https://images.diginfra.net/iiif/NL-HaNA_1.01.02/3829/NL-HaNA_1.01.02_3829_0401.jpg", "viewer_url")</f>
        <v>viewer_url</v>
      </c>
      <c r="U328" t="str">
        <f>HYPERLINK("https://images.diginfra.net/iiif/NL-HaNA_1.01.02/3829/NL-HaNA_1.01.02_3829_0401.jpg/2602,2616,701,644/full/0/default.jpg", "iiif_url")</f>
        <v>iiif_url</v>
      </c>
      <c r="V328" t="s">
        <v>33</v>
      </c>
      <c r="W328" t="s">
        <v>1376</v>
      </c>
      <c r="X328" t="str">
        <f>HYPERLINK("https://images.diginfra.net/framed3.html?imagesetuuid=4a630f3a-34aa-4b1a-92d1-c32d4455e96f&amp;uri=https://images.diginfra.net/iiif/NL-HaNA_1.01.02/3829/NL-HaNA_1.01.02_3829_0401.jpg", "prev_meeting_viewer_url")</f>
        <v>prev_meeting_viewer_url</v>
      </c>
      <c r="Y328" t="str">
        <f>HYPERLINK("https://images.diginfra.net/iiif/NL-HaNA_1.01.02/3829/NL-HaNA_1.01.02_3829_0401.jpg/1234,587,1099,2702/full/0/default.jpg", "prev_meeting_iiif_url")</f>
        <v>prev_meeting_iiif_url</v>
      </c>
      <c r="Z328" t="s">
        <v>33</v>
      </c>
      <c r="AA328" t="s">
        <v>1434</v>
      </c>
      <c r="AB328" t="str">
        <f>HYPERLINK("https://images.diginfra.net/framed3.html?imagesetuuid=4a630f3a-34aa-4b1a-92d1-c32d4455e96f&amp;uri=https://images.diginfra.net/iiif/NL-HaNA_1.01.02/3829/NL-HaNA_1.01.02_3829_0402.jpg", "next_meeting_viewer_url")</f>
        <v>next_meeting_viewer_url</v>
      </c>
      <c r="AC328" t="str">
        <f>HYPERLINK("https://images.diginfra.net/iiif/NL-HaNA_1.01.02/3829/NL-HaNA_1.01.02_3829_0402.jpg/2402,1828,1077,1423/full/0/default.jpg", "next_meeting_iiif_url")</f>
        <v>next_meeting_iiif_url</v>
      </c>
    </row>
    <row r="329" spans="1:29" x14ac:dyDescent="0.2">
      <c r="A329" t="s">
        <v>1435</v>
      </c>
      <c r="B329" t="s">
        <v>37</v>
      </c>
      <c r="C329" t="s">
        <v>1004</v>
      </c>
      <c r="D329" t="b">
        <v>1</v>
      </c>
      <c r="E329" t="b">
        <v>1</v>
      </c>
      <c r="I329" t="s">
        <v>1436</v>
      </c>
      <c r="J329">
        <v>3814</v>
      </c>
      <c r="K329">
        <v>193</v>
      </c>
      <c r="L329">
        <v>435</v>
      </c>
      <c r="M329">
        <v>392</v>
      </c>
      <c r="N329">
        <f t="shared" si="7"/>
        <v>386</v>
      </c>
      <c r="O329">
        <v>384</v>
      </c>
      <c r="P329">
        <v>0</v>
      </c>
      <c r="Q329">
        <v>0</v>
      </c>
      <c r="R329">
        <v>0</v>
      </c>
      <c r="S329" t="s">
        <v>33</v>
      </c>
      <c r="T329" t="str">
        <f>HYPERLINK("https://images.diginfra.net/framed3.html?imagesetuuid=a95427fd-d131-4f1b-a2ee-069d038f458a&amp;uri=https://images.diginfra.net/iiif/NL-HaNA_1.01.02/3814/NL-HaNA_1.01.02_3814_0193.jpg", "viewer_url")</f>
        <v>viewer_url</v>
      </c>
      <c r="U329" t="str">
        <f>HYPERLINK("https://images.diginfra.net/iiif/NL-HaNA_1.01.02/3814/NL-HaNA_1.01.02_3814_0193.jpg/435,392,908,2924/full/0/default.jpg", "iiif_url")</f>
        <v>iiif_url</v>
      </c>
      <c r="V329" t="s">
        <v>33</v>
      </c>
      <c r="W329" t="s">
        <v>1437</v>
      </c>
      <c r="X329" t="str">
        <f>HYPERLINK("https://images.diginfra.net/framed3.html?imagesetuuid=a95427fd-d131-4f1b-a2ee-069d038f458a&amp;uri=https://images.diginfra.net/iiif/NL-HaNA_1.01.02/3814/NL-HaNA_1.01.02_3814_0191.jpg", "prev_meeting_viewer_url")</f>
        <v>prev_meeting_viewer_url</v>
      </c>
      <c r="Y329" t="str">
        <f>HYPERLINK("https://images.diginfra.net/iiif/NL-HaNA_1.01.02/3814/NL-HaNA_1.01.02_3814_0191.jpg/2435,1483,1087,1978/full/0/default.jpg", "prev_meeting_iiif_url")</f>
        <v>prev_meeting_iiif_url</v>
      </c>
      <c r="Z329" t="s">
        <v>33</v>
      </c>
      <c r="AA329" t="s">
        <v>1002</v>
      </c>
      <c r="AB329" t="str">
        <f>HYPERLINK("https://images.diginfra.net/framed3.html?imagesetuuid=a95427fd-d131-4f1b-a2ee-069d038f458a&amp;uri=https://images.diginfra.net/iiif/NL-HaNA_1.01.02/3814/NL-HaNA_1.01.02_3814_0195.jpg", "next_meeting_viewer_url")</f>
        <v>next_meeting_viewer_url</v>
      </c>
      <c r="AC329" t="str">
        <f>HYPERLINK("https://images.diginfra.net/iiif/NL-HaNA_1.01.02/3814/NL-HaNA_1.01.02_3814_0195.jpg/2425,841,1095,2592/full/0/default.jpg", "next_meeting_iiif_url")</f>
        <v>next_meeting_iiif_url</v>
      </c>
    </row>
    <row r="330" spans="1:29" x14ac:dyDescent="0.2">
      <c r="A330" t="s">
        <v>1438</v>
      </c>
      <c r="B330" t="s">
        <v>37</v>
      </c>
      <c r="C330" t="s">
        <v>1439</v>
      </c>
      <c r="D330" t="b">
        <v>1</v>
      </c>
      <c r="E330" t="b">
        <v>1</v>
      </c>
      <c r="I330" t="s">
        <v>1440</v>
      </c>
      <c r="J330">
        <v>3796</v>
      </c>
      <c r="K330">
        <v>232</v>
      </c>
      <c r="L330">
        <v>2495</v>
      </c>
      <c r="M330">
        <v>1760</v>
      </c>
      <c r="N330">
        <f t="shared" si="7"/>
        <v>464</v>
      </c>
      <c r="O330">
        <v>463</v>
      </c>
      <c r="P330">
        <v>0</v>
      </c>
      <c r="Q330">
        <v>1</v>
      </c>
      <c r="R330">
        <v>0</v>
      </c>
      <c r="S330" t="s">
        <v>33</v>
      </c>
      <c r="T330" t="str">
        <f>HYPERLINK("https://images.diginfra.net/framed3.html?imagesetuuid=ece8f80b-0549-4e73-82ff-af47ed8525ac&amp;uri=https://images.diginfra.net/iiif/NL-HaNA_1.01.02/3796/NL-HaNA_1.01.02_3796_0232.jpg", "viewer_url")</f>
        <v>viewer_url</v>
      </c>
      <c r="U330" t="str">
        <f>HYPERLINK("https://images.diginfra.net/iiif/NL-HaNA_1.01.02/3796/NL-HaNA_1.01.02_3796_0232.jpg/2495,1760,910,1573/full/0/default.jpg", "iiif_url")</f>
        <v>iiif_url</v>
      </c>
      <c r="V330" t="s">
        <v>33</v>
      </c>
      <c r="W330" t="s">
        <v>1441</v>
      </c>
      <c r="X330" t="str">
        <f>HYPERLINK("https://images.diginfra.net/framed3.html?imagesetuuid=ece8f80b-0549-4e73-82ff-af47ed8525ac&amp;uri=https://images.diginfra.net/iiif/NL-HaNA_1.01.02/3796/NL-HaNA_1.01.02_3796_0231.jpg", "prev_meeting_viewer_url")</f>
        <v>prev_meeting_viewer_url</v>
      </c>
      <c r="Y330" t="str">
        <f>HYPERLINK("https://images.diginfra.net/iiif/NL-HaNA_1.01.02/3796/NL-HaNA_1.01.02_3796_0231.jpg/3499,3075,660,321/full/0/default.jpg", "prev_meeting_iiif_url")</f>
        <v>prev_meeting_iiif_url</v>
      </c>
      <c r="Z330" t="s">
        <v>33</v>
      </c>
      <c r="AA330" t="s">
        <v>1442</v>
      </c>
      <c r="AB330" t="str">
        <f>HYPERLINK("https://images.diginfra.net/framed3.html?imagesetuuid=ece8f80b-0549-4e73-82ff-af47ed8525ac&amp;uri=https://images.diginfra.net/iiif/NL-HaNA_1.01.02/3796/NL-HaNA_1.01.02_3796_0234.jpg", "next_meeting_viewer_url")</f>
        <v>next_meeting_viewer_url</v>
      </c>
      <c r="AC330" t="str">
        <f>HYPERLINK("https://images.diginfra.net/iiif/NL-HaNA_1.01.02/3796/NL-HaNA_1.01.02_3796_0234.jpg/3388,2755,1020,632/full/0/default.jpg", "next_meeting_iiif_url")</f>
        <v>next_meeting_iiif_url</v>
      </c>
    </row>
    <row r="331" spans="1:29" x14ac:dyDescent="0.2">
      <c r="A331" t="s">
        <v>1443</v>
      </c>
      <c r="B331" t="s">
        <v>30</v>
      </c>
      <c r="C331" t="s">
        <v>1444</v>
      </c>
      <c r="D331" t="b">
        <v>1</v>
      </c>
      <c r="E331" t="b">
        <v>1</v>
      </c>
      <c r="I331" t="s">
        <v>1445</v>
      </c>
      <c r="J331">
        <v>3832</v>
      </c>
      <c r="K331">
        <v>462</v>
      </c>
      <c r="L331">
        <v>3337</v>
      </c>
      <c r="M331">
        <v>3025</v>
      </c>
      <c r="N331">
        <f t="shared" si="7"/>
        <v>924</v>
      </c>
      <c r="O331">
        <v>923</v>
      </c>
      <c r="P331">
        <v>0</v>
      </c>
      <c r="Q331">
        <v>2</v>
      </c>
      <c r="R331">
        <v>0</v>
      </c>
      <c r="S331" t="s">
        <v>33</v>
      </c>
      <c r="T331" t="str">
        <f>HYPERLINK("https://images.diginfra.net/framed3.html?imagesetuuid=e4d299a2-71b5-40fc-b329-60132fadd11f&amp;uri=https://images.diginfra.net/iiif/NL-HaNA_1.01.02/3832/NL-HaNA_1.01.02_3832_0462.jpg", "viewer_url")</f>
        <v>viewer_url</v>
      </c>
      <c r="U331" t="str">
        <f>HYPERLINK("https://images.diginfra.net/iiif/NL-HaNA_1.01.02/3832/NL-HaNA_1.01.02_3832_0449.jpg/3337,3025,675,256/full/0/default.jpg", "iiif_url")</f>
        <v>iiif_url</v>
      </c>
      <c r="V331" t="s">
        <v>33</v>
      </c>
      <c r="W331" t="s">
        <v>1446</v>
      </c>
      <c r="X331" t="str">
        <f>HYPERLINK("https://images.diginfra.net/framed3.html?imagesetuuid=e4d299a2-71b5-40fc-b329-60132fadd11f&amp;uri=https://images.diginfra.net/iiif/NL-HaNA_1.01.02/3832/NL-HaNA_1.01.02_3832_0460.jpg", "prev_meeting_viewer_url")</f>
        <v>prev_meeting_viewer_url</v>
      </c>
      <c r="Y331" t="str">
        <f>HYPERLINK("https://images.diginfra.net/iiif/NL-HaNA_1.01.02/3832/NL-HaNA_1.01.02_3832_0460.jpg/3234,565,1092,2842/full/0/default.jpg", "prev_meeting_iiif_url")</f>
        <v>prev_meeting_iiif_url</v>
      </c>
      <c r="Z331" t="s">
        <v>33</v>
      </c>
      <c r="AA331" t="s">
        <v>1447</v>
      </c>
      <c r="AB331" t="str">
        <f>HYPERLINK("https://images.diginfra.net/framed3.html?imagesetuuid=e4d299a2-71b5-40fc-b329-60132fadd11f&amp;uri=https://images.diginfra.net/iiif/NL-HaNA_1.01.02/3832/NL-HaNA_1.01.02_3832_0464.jpg", "next_meeting_viewer_url")</f>
        <v>next_meeting_viewer_url</v>
      </c>
      <c r="AC331" t="str">
        <f>HYPERLINK("https://images.diginfra.net/iiif/NL-HaNA_1.01.02/3832/NL-HaNA_1.01.02_3832_0464.jpg/1212,1164,1073,2204/full/0/default.jpg", "next_meeting_iiif_url")</f>
        <v>next_meeting_iiif_url</v>
      </c>
    </row>
    <row r="332" spans="1:29" x14ac:dyDescent="0.2">
      <c r="A332" t="s">
        <v>1448</v>
      </c>
      <c r="B332" t="s">
        <v>30</v>
      </c>
      <c r="C332" t="s">
        <v>1449</v>
      </c>
      <c r="D332" t="b">
        <v>1</v>
      </c>
      <c r="E332" t="b">
        <v>1</v>
      </c>
      <c r="I332" t="s">
        <v>1450</v>
      </c>
      <c r="J332">
        <v>3864</v>
      </c>
      <c r="K332">
        <v>318</v>
      </c>
      <c r="L332">
        <v>1243</v>
      </c>
      <c r="M332">
        <v>2050</v>
      </c>
      <c r="N332">
        <f t="shared" si="7"/>
        <v>636</v>
      </c>
      <c r="O332">
        <v>634</v>
      </c>
      <c r="P332">
        <v>1</v>
      </c>
      <c r="Q332">
        <v>2</v>
      </c>
      <c r="R332">
        <v>3</v>
      </c>
      <c r="S332" t="s">
        <v>33</v>
      </c>
      <c r="T332" t="str">
        <f>HYPERLINK("https://images.diginfra.net/framed3.html?imagesetuuid=4b21e7ce-04d7-429b-9edd-e191341917f4&amp;uri=https://images.diginfra.net/iiif/NL-HaNA_1.01.02/3864/NL-HaNA_1.01.02_3864_0318.jpg", "viewer_url")</f>
        <v>viewer_url</v>
      </c>
      <c r="U332" t="str">
        <f>HYPERLINK("https://images.diginfra.net/iiif/NL-HaNA_1.01.02/3864/NL-HaNA_1.01.02_3864_0318.jpg/1243,2050,840,1234/full/0/default.jpg", "iiif_url")</f>
        <v>iiif_url</v>
      </c>
      <c r="V332" t="s">
        <v>33</v>
      </c>
      <c r="W332" t="s">
        <v>1451</v>
      </c>
      <c r="X332" t="str">
        <f>HYPERLINK("https://images.diginfra.net/framed3.html?imagesetuuid=4b21e7ce-04d7-429b-9edd-e191341917f4&amp;uri=https://images.diginfra.net/iiif/NL-HaNA_1.01.02/3864/NL-HaNA_1.01.02_3864_0312.jpg", "prev_meeting_viewer_url")</f>
        <v>prev_meeting_viewer_url</v>
      </c>
      <c r="Y332" t="str">
        <f>HYPERLINK("https://images.diginfra.net/iiif/NL-HaNA_1.01.02/3864/NL-HaNA_1.01.02_3864_0312.jpg/2364,2110,1026,1282/full/0/default.jpg", "prev_meeting_iiif_url")</f>
        <v>prev_meeting_iiif_url</v>
      </c>
      <c r="Z332" t="s">
        <v>33</v>
      </c>
      <c r="AA332" t="s">
        <v>1452</v>
      </c>
      <c r="AB332" t="str">
        <f>HYPERLINK("https://images.diginfra.net/framed3.html?imagesetuuid=4b21e7ce-04d7-429b-9edd-e191341917f4&amp;uri=https://images.diginfra.net/iiif/NL-HaNA_1.01.02/3864/NL-HaNA_1.01.02_3864_0321.jpg", "next_meeting_viewer_url")</f>
        <v>next_meeting_viewer_url</v>
      </c>
      <c r="AC332" t="str">
        <f>HYPERLINK("https://images.diginfra.net/iiif/NL-HaNA_1.01.02/3864/NL-HaNA_1.01.02_3864_0321.jpg/3231,602,1075,2757/full/0/default.jpg", "next_meeting_iiif_url")</f>
        <v>next_meeting_iiif_url</v>
      </c>
    </row>
    <row r="333" spans="1:29" x14ac:dyDescent="0.2">
      <c r="A333" t="s">
        <v>1453</v>
      </c>
      <c r="B333" t="s">
        <v>79</v>
      </c>
      <c r="C333" t="s">
        <v>1454</v>
      </c>
      <c r="D333" t="b">
        <v>1</v>
      </c>
      <c r="E333" t="b">
        <v>1</v>
      </c>
      <c r="I333" t="s">
        <v>1455</v>
      </c>
      <c r="J333">
        <v>3829</v>
      </c>
      <c r="K333">
        <v>352</v>
      </c>
      <c r="L333">
        <v>3372</v>
      </c>
      <c r="M333">
        <v>1827</v>
      </c>
      <c r="N333">
        <f t="shared" si="7"/>
        <v>704</v>
      </c>
      <c r="O333">
        <v>703</v>
      </c>
      <c r="P333">
        <v>1</v>
      </c>
      <c r="Q333">
        <v>2</v>
      </c>
      <c r="R333">
        <v>0</v>
      </c>
      <c r="S333" t="s">
        <v>33</v>
      </c>
      <c r="T333" t="str">
        <f>HYPERLINK("https://images.diginfra.net/framed3.html?imagesetuuid=4a630f3a-34aa-4b1a-92d1-c32d4455e96f&amp;uri=https://images.diginfra.net/iiif/NL-HaNA_1.01.02/3829/NL-HaNA_1.01.02_3829_0352.jpg", "viewer_url")</f>
        <v>viewer_url</v>
      </c>
      <c r="U333" t="str">
        <f>HYPERLINK("https://images.diginfra.net/iiif/NL-HaNA_1.01.02/3829/NL-HaNA_1.01.02_3829_0352.jpg/3372,1827,880,1348/full/0/default.jpg", "iiif_url")</f>
        <v>iiif_url</v>
      </c>
      <c r="V333" t="s">
        <v>33</v>
      </c>
      <c r="W333" t="s">
        <v>1456</v>
      </c>
      <c r="X333" t="str">
        <f>HYPERLINK("https://images.diginfra.net/framed3.html?imagesetuuid=4a630f3a-34aa-4b1a-92d1-c32d4455e96f&amp;uri=https://images.diginfra.net/iiif/NL-HaNA_1.01.02/3829/NL-HaNA_1.01.02_3829_0352.jpg", "prev_meeting_viewer_url")</f>
        <v>prev_meeting_viewer_url</v>
      </c>
      <c r="Y333" t="str">
        <f>HYPERLINK("https://images.diginfra.net/iiif/NL-HaNA_1.01.02/3829/NL-HaNA_1.01.02_3829_0352.jpg/279,2084,1014,1177/full/0/default.jpg", "prev_meeting_iiif_url")</f>
        <v>prev_meeting_iiif_url</v>
      </c>
      <c r="Z333" t="s">
        <v>33</v>
      </c>
      <c r="AB333" t="str">
        <f>HYPERLINK("https://images.diginfra.net/framed3.html?imagesetuuid=4a630f3a-34aa-4b1a-92d1-c32d4455e96f&amp;uri=https://images.diginfra.net/iiif/NL-HaNA_1.01.02/3829/NL-HaNA_1.01.02_3829_0353.jpg", "next_meeting_viewer_url")</f>
        <v>next_meeting_viewer_url</v>
      </c>
      <c r="AC333" t="str">
        <f>HYPERLINK("https://images.diginfra.net/iiif/NL-HaNA_1.01.02/3829/NL-HaNA_1.01.02_3829_0353.jpg/2355,1176,1073,2120/full/0/default.jpg", "next_meeting_iiif_url")</f>
        <v>next_meeting_iiif_url</v>
      </c>
    </row>
    <row r="334" spans="1:29" x14ac:dyDescent="0.2">
      <c r="A334" t="s">
        <v>1457</v>
      </c>
      <c r="B334" t="s">
        <v>59</v>
      </c>
      <c r="D334" t="b">
        <v>0</v>
      </c>
      <c r="E334" t="b">
        <v>0</v>
      </c>
      <c r="I334" t="s">
        <v>1458</v>
      </c>
      <c r="J334">
        <v>3810</v>
      </c>
      <c r="K334">
        <v>375</v>
      </c>
      <c r="N334">
        <f t="shared" si="7"/>
        <v>750</v>
      </c>
      <c r="O334">
        <v>749</v>
      </c>
      <c r="P334">
        <v>0</v>
      </c>
      <c r="Q334">
        <v>2</v>
      </c>
      <c r="R334">
        <v>0</v>
      </c>
      <c r="S334" t="s">
        <v>33</v>
      </c>
      <c r="T334" t="str">
        <f>HYPERLINK("https://images.diginfra.net/framed3.html?imagesetuuid=c09819be-7a72-4ff1-ad38-883712386d5f&amp;uri=https://images.diginfra.net/iiif/NL-HaNA_1.01.02/3810/NL-HaNA_1.01.02_3810_0375.jpg", "viewer_url")</f>
        <v>viewer_url</v>
      </c>
      <c r="U334" t="str">
        <f>HYPERLINK("https://images.diginfra.net/iiif/NL-HaNA_1.01.02/3810/NL-HaNA_1.01.02_3810_0375.jpg/2310,1438,1073,1292/full/0/default.jpg", "iiif_url")</f>
        <v>iiif_url</v>
      </c>
      <c r="V334" t="s">
        <v>33</v>
      </c>
      <c r="W334" t="s">
        <v>1459</v>
      </c>
      <c r="X334" t="str">
        <f>HYPERLINK("https://images.diginfra.net/framed3.html?imagesetuuid=c09819be-7a72-4ff1-ad38-883712386d5f&amp;uri=https://images.diginfra.net/iiif/NL-HaNA_1.01.02/3810/NL-HaNA_1.01.02_3810_0374.jpg", "prev_meeting_viewer_url")</f>
        <v>prev_meeting_viewer_url</v>
      </c>
      <c r="Y334" t="str">
        <f>HYPERLINK("https://images.diginfra.net/iiif/NL-HaNA_1.01.02/3810/NL-HaNA_1.01.02_3810_0374.jpg/2313,948,1090,2408/full/0/default.jpg", "prev_meeting_iiif_url")</f>
        <v>prev_meeting_iiif_url</v>
      </c>
      <c r="Z334" t="s">
        <v>33</v>
      </c>
      <c r="AA334" t="s">
        <v>1460</v>
      </c>
      <c r="AB334" t="str">
        <f>HYPERLINK("https://images.diginfra.net/framed3.html?imagesetuuid=c09819be-7a72-4ff1-ad38-883712386d5f&amp;uri=https://images.diginfra.net/iiif/NL-HaNA_1.01.02/3810/NL-HaNA_1.01.02_3810_0375.jpg", "next_meeting_viewer_url")</f>
        <v>next_meeting_viewer_url</v>
      </c>
      <c r="AC334" t="str">
        <f>HYPERLINK("https://images.diginfra.net/iiif/NL-HaNA_1.01.02/3810/NL-HaNA_1.01.02_3810_0375.jpg/2310,1438,1073,1292/full/0/default.jpg", "next_meeting_iiif_url")</f>
        <v>next_meeting_iiif_url</v>
      </c>
    </row>
    <row r="335" spans="1:29" x14ac:dyDescent="0.2">
      <c r="A335" t="s">
        <v>1461</v>
      </c>
      <c r="B335" t="s">
        <v>63</v>
      </c>
      <c r="D335" t="b">
        <v>0</v>
      </c>
      <c r="E335" t="b">
        <v>0</v>
      </c>
      <c r="I335" t="s">
        <v>1462</v>
      </c>
      <c r="J335">
        <v>3786</v>
      </c>
      <c r="K335">
        <v>82</v>
      </c>
      <c r="N335">
        <f t="shared" si="7"/>
        <v>164</v>
      </c>
      <c r="O335">
        <v>162</v>
      </c>
      <c r="P335">
        <v>1</v>
      </c>
      <c r="Q335">
        <v>2</v>
      </c>
      <c r="R335">
        <v>0</v>
      </c>
      <c r="S335" t="s">
        <v>33</v>
      </c>
      <c r="T335" t="str">
        <f>HYPERLINK("https://images.diginfra.net/framed3.html?imagesetuuid=508661ee-474e-44be-a74a-8aac34348aeb&amp;uri=https://images.diginfra.net/iiif/NL-HaNA_1.01.02/3786/NL-HaNA_1.01.02_3786_0082.jpg", "viewer_url")</f>
        <v>viewer_url</v>
      </c>
      <c r="U335" t="str">
        <f>HYPERLINK("https://images.diginfra.net/iiif/NL-HaNA_1.01.02/3786/NL-HaNA_1.01.02_3786_0082.jpg/1211,1493,1107,1855/full/0/default.jpg", "iiif_url")</f>
        <v>iiif_url</v>
      </c>
      <c r="V335" t="s">
        <v>33</v>
      </c>
      <c r="W335" t="s">
        <v>1463</v>
      </c>
      <c r="X335" t="str">
        <f>HYPERLINK("https://images.diginfra.net/framed3.html?imagesetuuid=508661ee-474e-44be-a74a-8aac34348aeb&amp;uri=https://images.diginfra.net/iiif/NL-HaNA_1.01.02/3786/NL-HaNA_1.01.02_3786_0082.jpg", "prev_meeting_viewer_url")</f>
        <v>prev_meeting_viewer_url</v>
      </c>
      <c r="Y335" t="str">
        <f>HYPERLINK("https://images.diginfra.net/iiif/NL-HaNA_1.01.02/3786/NL-HaNA_1.01.02_3786_0082.jpg/278,1525,1105,1911/full/0/default.jpg", "prev_meeting_iiif_url")</f>
        <v>prev_meeting_iiif_url</v>
      </c>
      <c r="Z335" t="s">
        <v>33</v>
      </c>
      <c r="AA335" t="s">
        <v>1464</v>
      </c>
      <c r="AB335" t="str">
        <f>HYPERLINK("https://images.diginfra.net/framed3.html?imagesetuuid=508661ee-474e-44be-a74a-8aac34348aeb&amp;uri=https://images.diginfra.net/iiif/NL-HaNA_1.01.02/3786/NL-HaNA_1.01.02_3786_0082.jpg", "next_meeting_viewer_url")</f>
        <v>next_meeting_viewer_url</v>
      </c>
      <c r="AC335" t="str">
        <f>HYPERLINK("https://images.diginfra.net/iiif/NL-HaNA_1.01.02/3786/NL-HaNA_1.01.02_3786_0082.jpg/1211,1493,1107,1855/full/0/default.jpg", "next_meeting_iiif_url")</f>
        <v>next_meeting_iiif_url</v>
      </c>
    </row>
    <row r="336" spans="1:29" x14ac:dyDescent="0.2">
      <c r="A336" t="s">
        <v>1465</v>
      </c>
      <c r="B336" t="s">
        <v>59</v>
      </c>
      <c r="D336" t="b">
        <v>0</v>
      </c>
      <c r="E336" t="b">
        <v>0</v>
      </c>
      <c r="I336" t="s">
        <v>1466</v>
      </c>
      <c r="J336">
        <v>3821</v>
      </c>
      <c r="K336">
        <v>336</v>
      </c>
      <c r="N336">
        <f t="shared" si="7"/>
        <v>672</v>
      </c>
      <c r="O336">
        <v>670</v>
      </c>
      <c r="P336">
        <v>1</v>
      </c>
      <c r="Q336">
        <v>2</v>
      </c>
      <c r="R336">
        <v>0</v>
      </c>
      <c r="S336" t="s">
        <v>33</v>
      </c>
      <c r="T336" t="str">
        <f>HYPERLINK("https://images.diginfra.net/framed3.html?imagesetuuid=d2997452-8788-4796-912c-2151f3b459f9&amp;uri=https://images.diginfra.net/iiif/NL-HaNA_1.01.02/3821/NL-HaNA_1.01.02_3821_0336.jpg", "viewer_url")</f>
        <v>viewer_url</v>
      </c>
      <c r="U336" t="str">
        <f>HYPERLINK("https://images.diginfra.net/iiif/NL-HaNA_1.01.02/3821/NL-HaNA_1.01.02_3821_0336.jpg/1167,1053,1090,2346/full/0/default.jpg", "iiif_url")</f>
        <v>iiif_url</v>
      </c>
      <c r="V336" t="s">
        <v>33</v>
      </c>
      <c r="W336" t="s">
        <v>1467</v>
      </c>
      <c r="X336" t="str">
        <f>HYPERLINK("https://images.diginfra.net/framed3.html?imagesetuuid=d2997452-8788-4796-912c-2151f3b459f9&amp;uri=https://images.diginfra.net/iiif/NL-HaNA_1.01.02/3821/NL-HaNA_1.01.02_3821_0335.jpg", "prev_meeting_viewer_url")</f>
        <v>prev_meeting_viewer_url</v>
      </c>
      <c r="Y336" t="str">
        <f>HYPERLINK("https://images.diginfra.net/iiif/NL-HaNA_1.01.02/3821/NL-HaNA_1.01.02_3821_0335.jpg/3253,550,1084,2860/full/0/default.jpg", "prev_meeting_iiif_url")</f>
        <v>prev_meeting_iiif_url</v>
      </c>
      <c r="Z336" t="s">
        <v>33</v>
      </c>
      <c r="AA336" t="s">
        <v>1468</v>
      </c>
      <c r="AB336" t="str">
        <f>HYPERLINK("https://images.diginfra.net/framed3.html?imagesetuuid=d2997452-8788-4796-912c-2151f3b459f9&amp;uri=https://images.diginfra.net/iiif/NL-HaNA_1.01.02/3821/NL-HaNA_1.01.02_3821_0336.jpg", "next_meeting_viewer_url")</f>
        <v>next_meeting_viewer_url</v>
      </c>
      <c r="AC336" t="str">
        <f>HYPERLINK("https://images.diginfra.net/iiif/NL-HaNA_1.01.02/3821/NL-HaNA_1.01.02_3821_0336.jpg/1167,1053,1090,2346/full/0/default.jpg", "next_meeting_iiif_url")</f>
        <v>next_meeting_iiif_url</v>
      </c>
    </row>
    <row r="337" spans="1:29" x14ac:dyDescent="0.2">
      <c r="A337" t="s">
        <v>1469</v>
      </c>
      <c r="B337" t="s">
        <v>85</v>
      </c>
      <c r="C337" t="s">
        <v>1470</v>
      </c>
      <c r="D337" t="b">
        <v>1</v>
      </c>
      <c r="E337" t="b">
        <v>1</v>
      </c>
      <c r="I337" t="s">
        <v>1471</v>
      </c>
      <c r="J337">
        <v>3794</v>
      </c>
      <c r="K337">
        <v>135</v>
      </c>
      <c r="L337">
        <v>3413</v>
      </c>
      <c r="M337">
        <v>2046</v>
      </c>
      <c r="N337">
        <f t="shared" si="7"/>
        <v>270</v>
      </c>
      <c r="O337">
        <v>269</v>
      </c>
      <c r="P337">
        <v>1</v>
      </c>
      <c r="Q337">
        <v>3</v>
      </c>
      <c r="R337">
        <v>0</v>
      </c>
      <c r="S337" t="s">
        <v>33</v>
      </c>
      <c r="T337" t="str">
        <f>HYPERLINK("https://images.diginfra.net/framed3.html?imagesetuuid=5debb5c6-ae39-480e-845e-6e10690f8984&amp;uri=https://images.diginfra.net/iiif/NL-HaNA_1.01.02/3794/NL-HaNA_1.01.02_3794_0135.jpg", "viewer_url")</f>
        <v>viewer_url</v>
      </c>
      <c r="U337" t="str">
        <f>HYPERLINK("https://images.diginfra.net/iiif/NL-HaNA_1.01.02/3794/NL-HaNA_1.01.02_3794_0135.jpg/3413,2046,899,1249/full/0/default.jpg", "iiif_url")</f>
        <v>iiif_url</v>
      </c>
      <c r="V337" t="s">
        <v>33</v>
      </c>
      <c r="X337" t="str">
        <f>HYPERLINK("https://images.diginfra.net/framed3.html?imagesetuuid=5debb5c6-ae39-480e-845e-6e10690f8984&amp;uri=https://images.diginfra.net/iiif/NL-HaNA_1.01.02/3794/NL-HaNA_1.01.02_3794_0135.jpg", "prev_meeting_viewer_url")</f>
        <v>prev_meeting_viewer_url</v>
      </c>
      <c r="Y337" t="str">
        <f>HYPERLINK("https://images.diginfra.net/iiif/NL-HaNA_1.01.02/3794/NL-HaNA_1.01.02_3794_0135.jpg/1197,381,1097,3019/full/0/default.jpg", "prev_meeting_iiif_url")</f>
        <v>prev_meeting_iiif_url</v>
      </c>
      <c r="Z337" t="s">
        <v>33</v>
      </c>
      <c r="AA337" t="s">
        <v>1472</v>
      </c>
      <c r="AB337" t="str">
        <f>HYPERLINK("https://images.diginfra.net/framed3.html?imagesetuuid=5debb5c6-ae39-480e-845e-6e10690f8984&amp;uri=https://images.diginfra.net/iiif/NL-HaNA_1.01.02/3794/NL-HaNA_1.01.02_3794_0136.jpg", "next_meeting_viewer_url")</f>
        <v>next_meeting_viewer_url</v>
      </c>
      <c r="AC337" t="str">
        <f>HYPERLINK("https://images.diginfra.net/iiif/NL-HaNA_1.01.02/3794/NL-HaNA_1.01.02_3794_0136.jpg/1267,2637,1028,743/full/0/default.jpg", "next_meeting_iiif_url")</f>
        <v>next_meeting_iiif_url</v>
      </c>
    </row>
    <row r="338" spans="1:29" x14ac:dyDescent="0.2">
      <c r="A338" t="s">
        <v>1473</v>
      </c>
      <c r="B338" t="s">
        <v>37</v>
      </c>
      <c r="C338" t="s">
        <v>1474</v>
      </c>
      <c r="D338" t="b">
        <v>1</v>
      </c>
      <c r="E338" t="b">
        <v>1</v>
      </c>
      <c r="I338" t="s">
        <v>1475</v>
      </c>
      <c r="J338">
        <v>3775</v>
      </c>
      <c r="K338">
        <v>75</v>
      </c>
      <c r="L338">
        <v>3348</v>
      </c>
      <c r="M338">
        <v>380</v>
      </c>
      <c r="N338">
        <f t="shared" si="7"/>
        <v>150</v>
      </c>
      <c r="O338">
        <v>149</v>
      </c>
      <c r="P338">
        <v>1</v>
      </c>
      <c r="Q338">
        <v>0</v>
      </c>
      <c r="R338">
        <v>0</v>
      </c>
      <c r="S338" t="s">
        <v>33</v>
      </c>
      <c r="T338" t="str">
        <f>HYPERLINK("https://images.diginfra.net/framed3.html?imagesetuuid=e344f420-8808-4cb9-bb8a-07944ccb8c18&amp;uri=https://images.diginfra.net/iiif/NL-HaNA_1.01.02/3775/NL-HaNA_1.01.02_3775_0075.jpg", "viewer_url")</f>
        <v>viewer_url</v>
      </c>
      <c r="U338" t="str">
        <f>HYPERLINK("https://images.diginfra.net/iiif/NL-HaNA_1.01.02/3775/NL-HaNA_1.01.02_3775_0075.jpg/3348,380,938,2922/full/0/default.jpg", "iiif_url")</f>
        <v>iiif_url</v>
      </c>
      <c r="V338" t="s">
        <v>33</v>
      </c>
      <c r="W338" t="s">
        <v>1476</v>
      </c>
      <c r="X338" t="str">
        <f>HYPERLINK("https://images.diginfra.net/framed3.html?imagesetuuid=e344f420-8808-4cb9-bb8a-07944ccb8c18&amp;uri=https://images.diginfra.net/iiif/NL-HaNA_1.01.02/3775/NL-HaNA_1.01.02_3775_0074.jpg", "prev_meeting_viewer_url")</f>
        <v>prev_meeting_viewer_url</v>
      </c>
      <c r="Y338" t="str">
        <f>HYPERLINK("https://images.diginfra.net/iiif/NL-HaNA_1.01.02/3775/NL-HaNA_1.01.02_3775_0074.jpg/251,2050,1082,1282/full/0/default.jpg", "prev_meeting_iiif_url")</f>
        <v>prev_meeting_iiif_url</v>
      </c>
      <c r="Z338" t="s">
        <v>33</v>
      </c>
      <c r="AA338" t="s">
        <v>1477</v>
      </c>
      <c r="AB338" t="str">
        <f>HYPERLINK("https://images.diginfra.net/framed3.html?imagesetuuid=e344f420-8808-4cb9-bb8a-07944ccb8c18&amp;uri=https://images.diginfra.net/iiif/NL-HaNA_1.01.02/3775/NL-HaNA_1.01.02_3775_0076.jpg", "next_meeting_viewer_url")</f>
        <v>next_meeting_viewer_url</v>
      </c>
      <c r="AC338" t="str">
        <f>HYPERLINK("https://images.diginfra.net/iiif/NL-HaNA_1.01.02/3775/NL-HaNA_1.01.02_3775_0076.jpg/2307,1786,1075,1605/full/0/default.jpg", "next_meeting_iiif_url")</f>
        <v>next_meeting_iiif_url</v>
      </c>
    </row>
    <row r="339" spans="1:29" x14ac:dyDescent="0.2">
      <c r="A339" t="s">
        <v>1478</v>
      </c>
      <c r="B339" t="s">
        <v>79</v>
      </c>
      <c r="C339" t="s">
        <v>1479</v>
      </c>
      <c r="D339" t="b">
        <v>1</v>
      </c>
      <c r="E339" t="b">
        <v>1</v>
      </c>
      <c r="I339" t="s">
        <v>1480</v>
      </c>
      <c r="J339">
        <v>3794</v>
      </c>
      <c r="K339">
        <v>173</v>
      </c>
      <c r="L339">
        <v>401</v>
      </c>
      <c r="M339">
        <v>624</v>
      </c>
      <c r="N339">
        <f t="shared" si="7"/>
        <v>346</v>
      </c>
      <c r="O339">
        <v>344</v>
      </c>
      <c r="P339">
        <v>0</v>
      </c>
      <c r="Q339">
        <v>1</v>
      </c>
      <c r="R339">
        <v>0</v>
      </c>
      <c r="S339" t="s">
        <v>33</v>
      </c>
      <c r="T339" t="str">
        <f>HYPERLINK("https://images.diginfra.net/framed3.html?imagesetuuid=5debb5c6-ae39-480e-845e-6e10690f8984&amp;uri=https://images.diginfra.net/iiif/NL-HaNA_1.01.02/3794/NL-HaNA_1.01.02_3794_0173.jpg", "viewer_url")</f>
        <v>viewer_url</v>
      </c>
      <c r="U339" t="str">
        <f>HYPERLINK("https://images.diginfra.net/iiif/NL-HaNA_1.01.02/3794/NL-HaNA_1.01.02_3794_0173.jpg/401,624,900,2702/full/0/default.jpg", "iiif_url")</f>
        <v>iiif_url</v>
      </c>
      <c r="V339" t="s">
        <v>33</v>
      </c>
      <c r="W339" t="s">
        <v>1481</v>
      </c>
      <c r="X339" t="str">
        <f>HYPERLINK("https://images.diginfra.net/framed3.html?imagesetuuid=5debb5c6-ae39-480e-845e-6e10690f8984&amp;uri=https://images.diginfra.net/iiif/NL-HaNA_1.01.02/3794/NL-HaNA_1.01.02_3794_0172.jpg", "prev_meeting_viewer_url")</f>
        <v>prev_meeting_viewer_url</v>
      </c>
      <c r="Y339" t="str">
        <f>HYPERLINK("https://images.diginfra.net/iiif/NL-HaNA_1.01.02/3794/NL-HaNA_1.01.02_3794_0172.jpg/1243,1284,1073,2123/full/0/default.jpg", "prev_meeting_iiif_url")</f>
        <v>prev_meeting_iiif_url</v>
      </c>
      <c r="Z339" t="s">
        <v>33</v>
      </c>
      <c r="AB339" t="str">
        <f>HYPERLINK("https://images.diginfra.net/framed3.html?imagesetuuid=5debb5c6-ae39-480e-845e-6e10690f8984&amp;uri=https://images.diginfra.net/iiif/NL-HaNA_1.01.02/3794/NL-HaNA_1.01.02_3794_0174.jpg", "next_meeting_viewer_url")</f>
        <v>next_meeting_viewer_url</v>
      </c>
      <c r="AC339" t="str">
        <f>HYPERLINK("https://images.diginfra.net/iiif/NL-HaNA_1.01.02/3794/NL-HaNA_1.01.02_3794_0174.jpg/3244,349,1121,3087/full/0/default.jpg", "next_meeting_iiif_url")</f>
        <v>next_meeting_iiif_url</v>
      </c>
    </row>
    <row r="340" spans="1:29" x14ac:dyDescent="0.2">
      <c r="A340" t="s">
        <v>1482</v>
      </c>
      <c r="B340" t="s">
        <v>48</v>
      </c>
      <c r="C340" t="s">
        <v>1483</v>
      </c>
      <c r="D340" t="b">
        <v>1</v>
      </c>
      <c r="E340" t="b">
        <v>1</v>
      </c>
      <c r="I340" t="s">
        <v>1484</v>
      </c>
      <c r="J340">
        <v>3812</v>
      </c>
      <c r="K340">
        <v>234</v>
      </c>
      <c r="L340">
        <v>3421</v>
      </c>
      <c r="M340">
        <v>1439</v>
      </c>
      <c r="N340">
        <f t="shared" si="7"/>
        <v>468</v>
      </c>
      <c r="O340">
        <v>467</v>
      </c>
      <c r="P340">
        <v>2</v>
      </c>
      <c r="Q340">
        <v>1</v>
      </c>
      <c r="R340">
        <v>0</v>
      </c>
      <c r="S340" t="s">
        <v>33</v>
      </c>
      <c r="T340" t="str">
        <f>HYPERLINK("https://images.diginfra.net/framed3.html?imagesetuuid=2068053a-a1c4-40f9-a503-3778784a1420&amp;uri=https://images.diginfra.net/iiif/NL-HaNA_1.01.02/3812/NL-HaNA_1.01.02_3812_0234.jpg", "viewer_url")</f>
        <v>viewer_url</v>
      </c>
      <c r="U340" t="str">
        <f>HYPERLINK("https://images.diginfra.net/iiif/NL-HaNA_1.01.02/3812/NL-HaNA_1.01.02_3812_0234.jpg/3421,1439,903,1828/full/0/default.jpg", "iiif_url")</f>
        <v>iiif_url</v>
      </c>
      <c r="V340" t="s">
        <v>33</v>
      </c>
      <c r="W340" t="s">
        <v>1485</v>
      </c>
      <c r="X340" t="str">
        <f>HYPERLINK("https://images.diginfra.net/framed3.html?imagesetuuid=2068053a-a1c4-40f9-a503-3778784a1420&amp;uri=https://images.diginfra.net/iiif/NL-HaNA_1.01.02/3812/NL-HaNA_1.01.02_3812_0233.jpg", "prev_meeting_viewer_url")</f>
        <v>prev_meeting_viewer_url</v>
      </c>
      <c r="Y340" t="str">
        <f>HYPERLINK("https://images.diginfra.net/iiif/NL-HaNA_1.01.02/3812/NL-HaNA_1.01.02_3812_0233.jpg/1246,649,1100,2648/full/0/default.jpg", "prev_meeting_iiif_url")</f>
        <v>prev_meeting_iiif_url</v>
      </c>
      <c r="Z340" t="s">
        <v>33</v>
      </c>
      <c r="AA340" t="s">
        <v>1486</v>
      </c>
      <c r="AB340" t="str">
        <f>HYPERLINK("https://images.diginfra.net/framed3.html?imagesetuuid=2068053a-a1c4-40f9-a503-3778784a1420&amp;uri=https://images.diginfra.net/iiif/NL-HaNA_1.01.02/3812/NL-HaNA_1.01.02_3812_0238.jpg", "next_meeting_viewer_url")</f>
        <v>next_meeting_viewer_url</v>
      </c>
      <c r="AC340" t="str">
        <f>HYPERLINK("https://images.diginfra.net/iiif/NL-HaNA_1.01.02/3812/NL-HaNA_1.01.02_3812_0238.jpg/206,2154,1117,1219/full/0/default.jpg", "next_meeting_iiif_url")</f>
        <v>next_meeting_iiif_url</v>
      </c>
    </row>
    <row r="341" spans="1:29" x14ac:dyDescent="0.2">
      <c r="A341" t="s">
        <v>1487</v>
      </c>
      <c r="B341" t="s">
        <v>63</v>
      </c>
      <c r="D341" t="b">
        <v>0</v>
      </c>
      <c r="E341" t="b">
        <v>0</v>
      </c>
      <c r="I341" t="s">
        <v>1488</v>
      </c>
      <c r="J341">
        <v>3798</v>
      </c>
      <c r="K341">
        <v>335</v>
      </c>
      <c r="N341">
        <f t="shared" si="7"/>
        <v>670</v>
      </c>
      <c r="O341">
        <v>668</v>
      </c>
      <c r="P341">
        <v>0</v>
      </c>
      <c r="Q341">
        <v>3</v>
      </c>
      <c r="R341">
        <v>0</v>
      </c>
      <c r="S341" t="s">
        <v>33</v>
      </c>
      <c r="T341" t="str">
        <f>HYPERLINK("https://images.diginfra.net/framed3.html?imagesetuuid=c3e98c27-09b5-46e4-b19a-b811d240b059&amp;uri=https://images.diginfra.net/iiif/NL-HaNA_1.01.02/3798/NL-HaNA_1.01.02_3798_0335.jpg", "viewer_url")</f>
        <v>viewer_url</v>
      </c>
      <c r="U341" t="str">
        <f>HYPERLINK("https://images.diginfra.net/iiif/NL-HaNA_1.01.02/3798/NL-HaNA_1.01.02_3798_0335.jpg/385,2462,1030,982/full/0/default.jpg", "iiif_url")</f>
        <v>iiif_url</v>
      </c>
      <c r="V341" t="s">
        <v>33</v>
      </c>
      <c r="W341" t="s">
        <v>1489</v>
      </c>
      <c r="X341" t="str">
        <f>HYPERLINK("https://images.diginfra.net/framed3.html?imagesetuuid=c3e98c27-09b5-46e4-b19a-b811d240b059&amp;uri=https://images.diginfra.net/iiif/NL-HaNA_1.01.02/3798/NL-HaNA_1.01.02_3798_0334.jpg", "prev_meeting_viewer_url")</f>
        <v>prev_meeting_viewer_url</v>
      </c>
      <c r="Y341" t="str">
        <f>HYPERLINK("https://images.diginfra.net/iiif/NL-HaNA_1.01.02/3798/NL-HaNA_1.01.02_3798_0334.jpg/2503,2227,1042,1200/full/0/default.jpg", "prev_meeting_iiif_url")</f>
        <v>prev_meeting_iiif_url</v>
      </c>
      <c r="Z341" t="s">
        <v>33</v>
      </c>
      <c r="AA341" t="s">
        <v>1490</v>
      </c>
      <c r="AB341" t="str">
        <f>HYPERLINK("https://images.diginfra.net/framed3.html?imagesetuuid=c3e98c27-09b5-46e4-b19a-b811d240b059&amp;uri=https://images.diginfra.net/iiif/NL-HaNA_1.01.02/3798/NL-HaNA_1.01.02_3798_0335.jpg", "next_meeting_viewer_url")</f>
        <v>next_meeting_viewer_url</v>
      </c>
      <c r="AC341" t="str">
        <f>HYPERLINK("https://images.diginfra.net/iiif/NL-HaNA_1.01.02/3798/NL-HaNA_1.01.02_3798_0335.jpg/385,2462,1030,982/full/0/default.jpg", "next_meeting_iiif_url")</f>
        <v>next_meeting_iiif_url</v>
      </c>
    </row>
    <row r="342" spans="1:29" x14ac:dyDescent="0.2">
      <c r="A342" t="s">
        <v>1491</v>
      </c>
      <c r="B342" t="s">
        <v>30</v>
      </c>
      <c r="C342" t="s">
        <v>629</v>
      </c>
      <c r="D342" t="b">
        <v>1</v>
      </c>
      <c r="E342" t="b">
        <v>1</v>
      </c>
      <c r="I342" t="s">
        <v>1492</v>
      </c>
      <c r="J342">
        <v>3825</v>
      </c>
      <c r="K342">
        <v>150</v>
      </c>
      <c r="L342">
        <v>2422</v>
      </c>
      <c r="M342">
        <v>1415</v>
      </c>
      <c r="N342">
        <f t="shared" si="7"/>
        <v>300</v>
      </c>
      <c r="O342">
        <v>299</v>
      </c>
      <c r="P342">
        <v>0</v>
      </c>
      <c r="Q342">
        <v>0</v>
      </c>
      <c r="R342">
        <v>26</v>
      </c>
      <c r="S342" t="s">
        <v>33</v>
      </c>
      <c r="T342" t="str">
        <f>HYPERLINK("https://images.diginfra.net/framed3.html?imagesetuuid=3e55157c-ed48-4a0c-b4a9-bb205866d7cd&amp;uri=https://images.diginfra.net/iiif/NL-HaNA_1.01.02/3825/NL-HaNA_1.01.02_3825_0150.jpg", "viewer_url")</f>
        <v>viewer_url</v>
      </c>
      <c r="U342" t="str">
        <f>HYPERLINK("https://images.diginfra.net/iiif/NL-HaNA_1.01.02/3825/NL-HaNA_1.01.02_3825_0150.jpg/2422,1415,893,1835/full/0/default.jpg", "iiif_url")</f>
        <v>iiif_url</v>
      </c>
      <c r="V342" t="s">
        <v>33</v>
      </c>
      <c r="W342" t="s">
        <v>1493</v>
      </c>
      <c r="X342" t="str">
        <f>HYPERLINK("https://images.diginfra.net/framed3.html?imagesetuuid=3e55157c-ed48-4a0c-b4a9-bb205866d7cd&amp;uri=https://images.diginfra.net/iiif/NL-HaNA_1.01.02/3825/NL-HaNA_1.01.02_3825_0148.jpg", "prev_meeting_viewer_url")</f>
        <v>prev_meeting_viewer_url</v>
      </c>
      <c r="Y342" t="str">
        <f>HYPERLINK("https://images.diginfra.net/iiif/NL-HaNA_1.01.02/3825/NL-HaNA_1.01.02_3825_0148.jpg/1198,518,1090,2837/full/0/default.jpg", "prev_meeting_iiif_url")</f>
        <v>prev_meeting_iiif_url</v>
      </c>
      <c r="Z342" t="s">
        <v>33</v>
      </c>
      <c r="AA342" t="s">
        <v>632</v>
      </c>
      <c r="AB342" t="str">
        <f>HYPERLINK("https://images.diginfra.net/framed3.html?imagesetuuid=3e55157c-ed48-4a0c-b4a9-bb205866d7cd&amp;uri=https://images.diginfra.net/iiif/NL-HaNA_1.01.02/3825/NL-HaNA_1.01.02_3825_0151.jpg", "next_meeting_viewer_url")</f>
        <v>next_meeting_viewer_url</v>
      </c>
      <c r="AC342" t="str">
        <f>HYPERLINK("https://images.diginfra.net/iiif/NL-HaNA_1.01.02/3825/NL-HaNA_1.01.02_3825_0151.jpg/3329,2374,1087,921/full/0/default.jpg", "next_meeting_iiif_url")</f>
        <v>next_meeting_iiif_url</v>
      </c>
    </row>
    <row r="343" spans="1:29" x14ac:dyDescent="0.2">
      <c r="A343" t="s">
        <v>1494</v>
      </c>
      <c r="B343" t="s">
        <v>59</v>
      </c>
      <c r="C343" t="s">
        <v>1495</v>
      </c>
      <c r="D343" t="b">
        <v>1</v>
      </c>
      <c r="E343" t="b">
        <v>1</v>
      </c>
      <c r="I343" t="s">
        <v>1496</v>
      </c>
      <c r="J343">
        <v>3804</v>
      </c>
      <c r="K343">
        <v>336</v>
      </c>
      <c r="L343">
        <v>2477</v>
      </c>
      <c r="M343">
        <v>1810</v>
      </c>
      <c r="N343">
        <f t="shared" si="7"/>
        <v>672</v>
      </c>
      <c r="O343">
        <v>671</v>
      </c>
      <c r="P343">
        <v>0</v>
      </c>
      <c r="Q343">
        <v>1</v>
      </c>
      <c r="R343">
        <v>0</v>
      </c>
      <c r="S343" t="s">
        <v>33</v>
      </c>
      <c r="T343" t="str">
        <f>HYPERLINK("https://images.diginfra.net/framed3.html?imagesetuuid=278358e3-85df-45df-a4c3-0043ae8e62fa&amp;uri=https://images.diginfra.net/iiif/NL-HaNA_1.01.02/3804/NL-HaNA_1.01.02_3804_0336.jpg", "viewer_url")</f>
        <v>viewer_url</v>
      </c>
      <c r="U343" t="str">
        <f>HYPERLINK("https://images.diginfra.net/iiif/NL-HaNA_1.01.02/3804/NL-HaNA_1.01.02_3804_0336.jpg/2477,1810,912,1459/full/0/default.jpg", "iiif_url")</f>
        <v>iiif_url</v>
      </c>
      <c r="V343" t="s">
        <v>33</v>
      </c>
      <c r="W343" t="s">
        <v>1497</v>
      </c>
      <c r="X343" t="str">
        <f>HYPERLINK("https://images.diginfra.net/framed3.html?imagesetuuid=278358e3-85df-45df-a4c3-0043ae8e62fa&amp;uri=https://images.diginfra.net/iiif/NL-HaNA_1.01.02/3804/NL-HaNA_1.01.02_3804_0335.jpg", "prev_meeting_viewer_url")</f>
        <v>prev_meeting_viewer_url</v>
      </c>
      <c r="Y343" t="str">
        <f>HYPERLINK("https://images.diginfra.net/iiif/NL-HaNA_1.01.02/3804/NL-HaNA_1.01.02_3804_0335.jpg/1211,498,1116,2871/full/0/default.jpg", "prev_meeting_iiif_url")</f>
        <v>prev_meeting_iiif_url</v>
      </c>
      <c r="Z343" t="s">
        <v>33</v>
      </c>
      <c r="AA343" t="s">
        <v>1498</v>
      </c>
      <c r="AB343" t="str">
        <f>HYPERLINK("https://images.diginfra.net/framed3.html?imagesetuuid=278358e3-85df-45df-a4c3-0043ae8e62fa&amp;uri=https://images.diginfra.net/iiif/NL-HaNA_1.01.02/3804/NL-HaNA_1.01.02_3804_0337.jpg", "next_meeting_viewer_url")</f>
        <v>next_meeting_viewer_url</v>
      </c>
      <c r="AC343" t="str">
        <f>HYPERLINK("https://images.diginfra.net/iiif/NL-HaNA_1.01.02/3804/NL-HaNA_1.01.02_3804_0337.jpg/2367,651,1106,2733/full/0/default.jpg", "next_meeting_iiif_url")</f>
        <v>next_meeting_iiif_url</v>
      </c>
    </row>
    <row r="344" spans="1:29" x14ac:dyDescent="0.2">
      <c r="A344" t="s">
        <v>1499</v>
      </c>
      <c r="B344" t="s">
        <v>63</v>
      </c>
      <c r="D344" t="b">
        <v>0</v>
      </c>
      <c r="E344" t="b">
        <v>0</v>
      </c>
      <c r="I344" t="s">
        <v>1500</v>
      </c>
      <c r="J344">
        <v>3847</v>
      </c>
      <c r="K344">
        <v>246</v>
      </c>
      <c r="N344">
        <f t="shared" si="7"/>
        <v>492</v>
      </c>
      <c r="O344">
        <v>490</v>
      </c>
      <c r="P344">
        <v>0</v>
      </c>
      <c r="Q344">
        <v>1</v>
      </c>
      <c r="R344">
        <v>0</v>
      </c>
      <c r="S344" t="s">
        <v>33</v>
      </c>
      <c r="T344" t="str">
        <f>HYPERLINK("https://images.diginfra.net/framed3.html?imagesetuuid=1a032cf9-834a-4330-9619-23e00357d062&amp;uri=https://images.diginfra.net/iiif/NL-HaNA_1.01.02/3847/NL-HaNA_1.01.02_3847_0246.jpg", "viewer_url")</f>
        <v>viewer_url</v>
      </c>
      <c r="U344" t="str">
        <f>HYPERLINK("https://images.diginfra.net/iiif/NL-HaNA_1.01.02/3847/NL-HaNA_1.01.02_3847_0246.jpg/368,3076,872,318/full/0/default.jpg", "iiif_url")</f>
        <v>iiif_url</v>
      </c>
      <c r="V344" t="s">
        <v>33</v>
      </c>
      <c r="W344" t="s">
        <v>1501</v>
      </c>
      <c r="X344" t="str">
        <f>HYPERLINK("https://images.diginfra.net/framed3.html?imagesetuuid=1a032cf9-834a-4330-9619-23e00357d062&amp;uri=https://images.diginfra.net/iiif/NL-HaNA_1.01.02/3847/NL-HaNA_1.01.02_3847_0238.jpg", "prev_meeting_viewer_url")</f>
        <v>prev_meeting_viewer_url</v>
      </c>
      <c r="Y344" t="str">
        <f>HYPERLINK("https://images.diginfra.net/iiif/NL-HaNA_1.01.02/3847/NL-HaNA_1.01.02_3847_0238.jpg/3410,2151,1018,1199/full/0/default.jpg", "prev_meeting_iiif_url")</f>
        <v>prev_meeting_iiif_url</v>
      </c>
      <c r="Z344" t="s">
        <v>33</v>
      </c>
      <c r="AA344" t="s">
        <v>1008</v>
      </c>
      <c r="AB344" t="str">
        <f>HYPERLINK("https://images.diginfra.net/framed3.html?imagesetuuid=1a032cf9-834a-4330-9619-23e00357d062&amp;uri=https://images.diginfra.net/iiif/NL-HaNA_1.01.02/3847/NL-HaNA_1.01.02_3847_0246.jpg", "next_meeting_viewer_url")</f>
        <v>next_meeting_viewer_url</v>
      </c>
      <c r="AC344" t="str">
        <f>HYPERLINK("https://images.diginfra.net/iiif/NL-HaNA_1.01.02/3847/NL-HaNA_1.01.02_3847_0246.jpg/368,3076,872,318/full/0/default.jpg", "next_meeting_iiif_url")</f>
        <v>next_meeting_iiif_url</v>
      </c>
    </row>
    <row r="345" spans="1:29" x14ac:dyDescent="0.2">
      <c r="A345" t="s">
        <v>1502</v>
      </c>
      <c r="B345" t="s">
        <v>48</v>
      </c>
      <c r="D345" t="b">
        <v>0</v>
      </c>
      <c r="E345" t="b">
        <v>0</v>
      </c>
      <c r="I345" t="s">
        <v>1503</v>
      </c>
      <c r="J345">
        <v>3847</v>
      </c>
      <c r="K345">
        <v>333</v>
      </c>
      <c r="N345">
        <f t="shared" si="7"/>
        <v>666</v>
      </c>
      <c r="O345">
        <v>665</v>
      </c>
      <c r="P345">
        <v>0</v>
      </c>
      <c r="Q345">
        <v>1</v>
      </c>
      <c r="R345">
        <v>0</v>
      </c>
      <c r="S345" t="s">
        <v>33</v>
      </c>
      <c r="T345" t="str">
        <f>HYPERLINK("https://images.diginfra.net/framed3.html?imagesetuuid=1a032cf9-834a-4330-9619-23e00357d062&amp;uri=https://images.diginfra.net/iiif/NL-HaNA_1.01.02/3847/NL-HaNA_1.01.02_3847_0333.jpg", "viewer_url")</f>
        <v>viewer_url</v>
      </c>
      <c r="U345" t="str">
        <f>HYPERLINK("https://images.diginfra.net/iiif/NL-HaNA_1.01.02/3847/NL-HaNA_1.01.02_3847_0333.jpg/2512,2358,861,1049/full/0/default.jpg", "iiif_url")</f>
        <v>iiif_url</v>
      </c>
      <c r="Z345" t="s">
        <v>33</v>
      </c>
      <c r="AA345" t="s">
        <v>1504</v>
      </c>
      <c r="AB345" t="str">
        <f>HYPERLINK("https://images.diginfra.net/framed3.html?imagesetuuid=1a032cf9-834a-4330-9619-23e00357d062&amp;uri=https://images.diginfra.net/iiif/NL-HaNA_1.01.02/3847/NL-HaNA_1.01.02_3847_0333.jpg", "next_meeting_viewer_url")</f>
        <v>next_meeting_viewer_url</v>
      </c>
      <c r="AC345" t="str">
        <f>HYPERLINK("https://images.diginfra.net/iiif/NL-HaNA_1.01.02/3847/NL-HaNA_1.01.02_3847_0333.jpg/2512,2358,861,1049/full/0/default.jpg", "next_meeting_iiif_url")</f>
        <v>next_meeting_iiif_url</v>
      </c>
    </row>
    <row r="346" spans="1:29" x14ac:dyDescent="0.2">
      <c r="A346" t="s">
        <v>1505</v>
      </c>
      <c r="B346" t="s">
        <v>48</v>
      </c>
      <c r="D346" t="b">
        <v>1</v>
      </c>
      <c r="E346" t="b">
        <v>0</v>
      </c>
      <c r="L346">
        <v>3439</v>
      </c>
      <c r="M346">
        <v>1800</v>
      </c>
      <c r="N346">
        <f t="shared" si="7"/>
        <v>0</v>
      </c>
      <c r="T346" t="str">
        <f>HYPERLINK("None", "viewer_url")</f>
        <v>viewer_url</v>
      </c>
      <c r="U346" t="str">
        <f>HYPERLINK("https://images.diginfra.net/iiif/NL-HaNA_1.01.02/3830/NL-HaNA_1.01.02_3830_0290.jpg/3439,1800,903,1538/full/0/default.jpg", "iiif_url")</f>
        <v>iiif_url</v>
      </c>
      <c r="V346" t="s">
        <v>44</v>
      </c>
      <c r="W346" t="s">
        <v>1506</v>
      </c>
      <c r="X346" t="str">
        <f>HYPERLINK("https://images.diginfra.net/framed3.html?imagesetuuid=c4957ef5-1023-495b-ad5d-bfab5967cb29&amp;uri=https://images.diginfra.net/iiif/NL-HaNA_1.01.02/3830/NL-HaNA_1.01.02_3830_0288.jpg", "prev_meeting_viewer_url")</f>
        <v>prev_meeting_viewer_url</v>
      </c>
      <c r="Y346" t="str">
        <f>HYPERLINK("https://images.diginfra.net/iiif/NL-HaNA_1.01.02/3830/NL-HaNA_1.01.02_3830_0288.jpg/2379,2180,1087,1186/full/0/default.jpg", "prev_meeting_iiif_url")</f>
        <v>prev_meeting_iiif_url</v>
      </c>
      <c r="Z346" t="s">
        <v>33</v>
      </c>
      <c r="AA346" t="s">
        <v>1507</v>
      </c>
      <c r="AB346" t="str">
        <f>HYPERLINK("https://images.diginfra.net/framed3.html?imagesetuuid=c4957ef5-1023-495b-ad5d-bfab5967cb29&amp;uri=https://images.diginfra.net/iiif/NL-HaNA_1.01.02/3830/NL-HaNA_1.01.02_3830_0291.jpg", "next_meeting_viewer_url")</f>
        <v>next_meeting_viewer_url</v>
      </c>
      <c r="AC346" t="str">
        <f>HYPERLINK("https://images.diginfra.net/iiif/NL-HaNA_1.01.02/3830/NL-HaNA_1.01.02_3830_0291.jpg/3321,457,1144,2945/full/0/default.jpg", "next_meeting_iiif_url")</f>
        <v>next_meeting_iiif_url</v>
      </c>
    </row>
    <row r="347" spans="1:29" x14ac:dyDescent="0.2">
      <c r="A347" t="s">
        <v>1508</v>
      </c>
      <c r="B347" t="s">
        <v>63</v>
      </c>
      <c r="D347" t="b">
        <v>0</v>
      </c>
      <c r="E347" t="b">
        <v>0</v>
      </c>
      <c r="I347" t="s">
        <v>1509</v>
      </c>
      <c r="J347">
        <v>3817</v>
      </c>
      <c r="K347">
        <v>513</v>
      </c>
      <c r="N347">
        <f t="shared" si="7"/>
        <v>1026</v>
      </c>
      <c r="O347">
        <v>1025</v>
      </c>
      <c r="P347">
        <v>0</v>
      </c>
      <c r="Q347">
        <v>0</v>
      </c>
      <c r="R347">
        <v>24</v>
      </c>
      <c r="S347" t="s">
        <v>33</v>
      </c>
      <c r="T347" t="str">
        <f>HYPERLINK("https://images.diginfra.net/framed3.html?imagesetuuid=c13c7ed6-75ba-4433-9b44-0db683995fb3&amp;uri=https://images.diginfra.net/iiif/NL-HaNA_1.01.02/3817/NL-HaNA_1.01.02_3817_0513.jpg", "viewer_url")</f>
        <v>viewer_url</v>
      </c>
      <c r="U347" t="str">
        <f>HYPERLINK("https://images.diginfra.net/iiif/NL-HaNA_1.01.02/3817/NL-HaNA_1.01.02_3817_0513.jpg/2324,1289,1114,2115/full/0/default.jpg", "iiif_url")</f>
        <v>iiif_url</v>
      </c>
      <c r="V347" t="s">
        <v>33</v>
      </c>
      <c r="W347" t="s">
        <v>1510</v>
      </c>
      <c r="X347" t="str">
        <f>HYPERLINK("https://images.diginfra.net/framed3.html?imagesetuuid=c13c7ed6-75ba-4433-9b44-0db683995fb3&amp;uri=https://images.diginfra.net/iiif/NL-HaNA_1.01.02/3817/NL-HaNA_1.01.02_3817_0511.jpg", "prev_meeting_viewer_url")</f>
        <v>prev_meeting_viewer_url</v>
      </c>
      <c r="Y347" t="str">
        <f>HYPERLINK("https://images.diginfra.net/iiif/NL-HaNA_1.01.02/3817/NL-HaNA_1.01.02_3817_0511.jpg/3294,1366,1110,1863/full/0/default.jpg", "prev_meeting_iiif_url")</f>
        <v>prev_meeting_iiif_url</v>
      </c>
      <c r="Z347" t="s">
        <v>33</v>
      </c>
      <c r="AA347" t="s">
        <v>1511</v>
      </c>
      <c r="AB347" t="str">
        <f>HYPERLINK("https://images.diginfra.net/framed3.html?imagesetuuid=c13c7ed6-75ba-4433-9b44-0db683995fb3&amp;uri=https://images.diginfra.net/iiif/NL-HaNA_1.01.02/3817/NL-HaNA_1.01.02_3817_0513.jpg", "next_meeting_viewer_url")</f>
        <v>next_meeting_viewer_url</v>
      </c>
      <c r="AC347" t="str">
        <f>HYPERLINK("https://images.diginfra.net/iiif/NL-HaNA_1.01.02/3817/NL-HaNA_1.01.02_3817_0513.jpg/2324,1289,1114,2115/full/0/default.jpg", "next_meeting_iiif_url")</f>
        <v>next_meeting_iiif_url</v>
      </c>
    </row>
    <row r="348" spans="1:29" x14ac:dyDescent="0.2">
      <c r="A348" t="s">
        <v>1512</v>
      </c>
      <c r="B348" t="s">
        <v>37</v>
      </c>
      <c r="C348" t="s">
        <v>1513</v>
      </c>
      <c r="D348" t="b">
        <v>1</v>
      </c>
      <c r="E348" t="b">
        <v>1</v>
      </c>
      <c r="I348" t="s">
        <v>1514</v>
      </c>
      <c r="J348">
        <v>3807</v>
      </c>
      <c r="K348">
        <v>355</v>
      </c>
      <c r="L348">
        <v>1312</v>
      </c>
      <c r="M348">
        <v>1862</v>
      </c>
      <c r="N348">
        <f t="shared" si="7"/>
        <v>710</v>
      </c>
      <c r="O348">
        <v>708</v>
      </c>
      <c r="P348">
        <v>1</v>
      </c>
      <c r="Q348">
        <v>0</v>
      </c>
      <c r="R348">
        <v>37</v>
      </c>
      <c r="S348" t="s">
        <v>33</v>
      </c>
      <c r="T348" t="str">
        <f>HYPERLINK("https://images.diginfra.net/framed3.html?imagesetuuid=9cfa33f1-d711-4626-afe8-d82541dc4b2a&amp;uri=https://images.diginfra.net/iiif/NL-HaNA_1.01.02/3807/NL-HaNA_1.01.02_3807_0355.jpg", "viewer_url")</f>
        <v>viewer_url</v>
      </c>
      <c r="U348" t="str">
        <f>HYPERLINK("https://images.diginfra.net/iiif/NL-HaNA_1.01.02/3807/NL-HaNA_1.01.02_3807_0355.jpg/1312,1862,895,1394/full/0/default.jpg", "iiif_url")</f>
        <v>iiif_url</v>
      </c>
      <c r="V348" t="s">
        <v>33</v>
      </c>
      <c r="W348" t="s">
        <v>1515</v>
      </c>
      <c r="X348" t="str">
        <f>HYPERLINK("https://images.diginfra.net/framed3.html?imagesetuuid=9cfa33f1-d711-4626-afe8-d82541dc4b2a&amp;uri=https://images.diginfra.net/iiif/NL-HaNA_1.01.02/3807/NL-HaNA_1.01.02_3807_0354.jpg", "prev_meeting_viewer_url")</f>
        <v>prev_meeting_viewer_url</v>
      </c>
      <c r="Y348" t="str">
        <f>HYPERLINK("https://images.diginfra.net/iiif/NL-HaNA_1.01.02/3807/NL-HaNA_1.01.02_3807_0354.jpg/2380,626,1083,2748/full/0/default.jpg", "prev_meeting_iiif_url")</f>
        <v>prev_meeting_iiif_url</v>
      </c>
      <c r="Z348" t="s">
        <v>33</v>
      </c>
      <c r="AA348" t="s">
        <v>1516</v>
      </c>
      <c r="AB348" t="str">
        <f>HYPERLINK("https://images.diginfra.net/framed3.html?imagesetuuid=9cfa33f1-d711-4626-afe8-d82541dc4b2a&amp;uri=https://images.diginfra.net/iiif/NL-HaNA_1.01.02/3807/NL-HaNA_1.01.02_3807_0356.jpg", "next_meeting_viewer_url")</f>
        <v>next_meeting_viewer_url</v>
      </c>
      <c r="AC348" t="str">
        <f>HYPERLINK("https://images.diginfra.net/iiif/NL-HaNA_1.01.02/3807/NL-HaNA_1.01.02_3807_0356.jpg/2363,516,1096,2857/full/0/default.jpg", "next_meeting_iiif_url")</f>
        <v>next_meeting_iiif_url</v>
      </c>
    </row>
    <row r="349" spans="1:29" x14ac:dyDescent="0.2">
      <c r="A349" t="s">
        <v>1517</v>
      </c>
      <c r="B349" t="s">
        <v>79</v>
      </c>
      <c r="C349" t="s">
        <v>1518</v>
      </c>
      <c r="D349" t="b">
        <v>1</v>
      </c>
      <c r="E349" t="b">
        <v>1</v>
      </c>
      <c r="I349" t="s">
        <v>1519</v>
      </c>
      <c r="J349">
        <v>3773</v>
      </c>
      <c r="K349">
        <v>531</v>
      </c>
      <c r="L349">
        <v>352</v>
      </c>
      <c r="M349">
        <v>1546</v>
      </c>
      <c r="N349">
        <f t="shared" si="7"/>
        <v>1062</v>
      </c>
      <c r="O349">
        <v>1060</v>
      </c>
      <c r="P349">
        <v>0</v>
      </c>
      <c r="Q349">
        <v>4</v>
      </c>
      <c r="R349">
        <v>0</v>
      </c>
      <c r="S349" t="s">
        <v>33</v>
      </c>
      <c r="T349" t="str">
        <f>HYPERLINK("https://images.diginfra.net/framed3.html?imagesetuuid=0d0ede5e-a7f6-4a03-b996-493e50528c24&amp;uri=https://images.diginfra.net/iiif/NL-HaNA_1.01.02/3773/NL-HaNA_1.01.02_3773_0531.jpg", "viewer_url")</f>
        <v>viewer_url</v>
      </c>
      <c r="U349" t="str">
        <f>HYPERLINK("https://images.diginfra.net/iiif/NL-HaNA_1.01.02/3773/NL-HaNA_1.01.02_3773_0531.jpg/352,1546,900,1748/full/0/default.jpg", "iiif_url")</f>
        <v>iiif_url</v>
      </c>
      <c r="V349" t="s">
        <v>33</v>
      </c>
      <c r="W349" t="s">
        <v>207</v>
      </c>
      <c r="X349" t="str">
        <f>HYPERLINK("https://images.diginfra.net/framed3.html?imagesetuuid=0d0ede5e-a7f6-4a03-b996-493e50528c24&amp;uri=https://images.diginfra.net/iiif/NL-HaNA_1.01.02/3773/NL-HaNA_1.01.02_3773_0525.jpg", "prev_meeting_viewer_url")</f>
        <v>prev_meeting_viewer_url</v>
      </c>
      <c r="Y349" t="str">
        <f>HYPERLINK("https://images.diginfra.net/iiif/NL-HaNA_1.01.02/3773/NL-HaNA_1.01.02_3773_0525.jpg/3427,1199,1090,2115/full/0/default.jpg", "prev_meeting_iiif_url")</f>
        <v>prev_meeting_iiif_url</v>
      </c>
      <c r="Z349" t="s">
        <v>33</v>
      </c>
      <c r="AA349" t="s">
        <v>208</v>
      </c>
      <c r="AB349" t="str">
        <f>HYPERLINK("https://images.diginfra.net/framed3.html?imagesetuuid=0d0ede5e-a7f6-4a03-b996-493e50528c24&amp;uri=https://images.diginfra.net/iiif/NL-HaNA_1.01.02/3773/NL-HaNA_1.01.02_3773_0532.jpg", "next_meeting_viewer_url")</f>
        <v>next_meeting_viewer_url</v>
      </c>
      <c r="AC349" t="str">
        <f>HYPERLINK("https://images.diginfra.net/iiif/NL-HaNA_1.01.02/3773/NL-HaNA_1.01.02_3773_0532.jpg/264,1968,1092,1385/full/0/default.jpg", "next_meeting_iiif_url")</f>
        <v>next_meeting_iiif_url</v>
      </c>
    </row>
    <row r="350" spans="1:29" x14ac:dyDescent="0.2">
      <c r="A350" t="s">
        <v>1520</v>
      </c>
      <c r="B350" t="s">
        <v>48</v>
      </c>
      <c r="C350" t="s">
        <v>1521</v>
      </c>
      <c r="D350" t="b">
        <v>1</v>
      </c>
      <c r="E350" t="b">
        <v>1</v>
      </c>
      <c r="I350" t="s">
        <v>1522</v>
      </c>
      <c r="J350">
        <v>3857</v>
      </c>
      <c r="K350">
        <v>53</v>
      </c>
      <c r="L350">
        <v>2409</v>
      </c>
      <c r="M350">
        <v>827</v>
      </c>
      <c r="N350">
        <f t="shared" si="7"/>
        <v>106</v>
      </c>
      <c r="O350">
        <v>105</v>
      </c>
      <c r="P350">
        <v>0</v>
      </c>
      <c r="Q350">
        <v>1</v>
      </c>
      <c r="R350">
        <v>0</v>
      </c>
      <c r="S350" t="s">
        <v>33</v>
      </c>
      <c r="T350" t="str">
        <f>HYPERLINK("https://images.diginfra.net/framed3.html?imagesetuuid=bdc1056d-db1f-4bb6-bf02-36bea1fa2f06&amp;uri=https://images.diginfra.net/iiif/NL-HaNA_1.01.02/3857/NL-HaNA_1.01.02_3857_0053.jpg", "viewer_url")</f>
        <v>viewer_url</v>
      </c>
      <c r="U350" t="str">
        <f>HYPERLINK("https://images.diginfra.net/iiif/NL-HaNA_1.01.02/3857/NL-HaNA_1.01.02_3857_0053.jpg/2409,827,873,2457/full/0/default.jpg", "iiif_url")</f>
        <v>iiif_url</v>
      </c>
      <c r="V350" t="s">
        <v>33</v>
      </c>
      <c r="W350" t="s">
        <v>1523</v>
      </c>
      <c r="X350" t="str">
        <f>HYPERLINK("https://images.diginfra.net/framed3.html?imagesetuuid=bdc1056d-db1f-4bb6-bf02-36bea1fa2f06&amp;uri=https://images.diginfra.net/iiif/NL-HaNA_1.01.02/3857/NL-HaNA_1.01.02_3857_0052.jpg", "prev_meeting_viewer_url")</f>
        <v>prev_meeting_viewer_url</v>
      </c>
      <c r="Y350" t="str">
        <f>HYPERLINK("https://images.diginfra.net/iiif/NL-HaNA_1.01.02/3857/NL-HaNA_1.01.02_3857_0052.jpg/3250,1006,1062,2317/full/0/default.jpg", "prev_meeting_iiif_url")</f>
        <v>prev_meeting_iiif_url</v>
      </c>
      <c r="Z350" t="s">
        <v>33</v>
      </c>
      <c r="AA350" t="s">
        <v>1524</v>
      </c>
      <c r="AB350" t="str">
        <f>HYPERLINK("https://images.diginfra.net/framed3.html?imagesetuuid=bdc1056d-db1f-4bb6-bf02-36bea1fa2f06&amp;uri=https://images.diginfra.net/iiif/NL-HaNA_1.01.02/3857/NL-HaNA_1.01.02_3857_0055.jpg", "next_meeting_viewer_url")</f>
        <v>next_meeting_viewer_url</v>
      </c>
      <c r="AC350" t="str">
        <f>HYPERLINK("https://images.diginfra.net/iiif/NL-HaNA_1.01.02/3857/NL-HaNA_1.01.02_3857_0055.jpg/272,1102,1076,2332/full/0/default.jpg", "next_meeting_iiif_url")</f>
        <v>next_meeting_iiif_url</v>
      </c>
    </row>
    <row r="351" spans="1:29" x14ac:dyDescent="0.2">
      <c r="A351" t="s">
        <v>1525</v>
      </c>
      <c r="B351" t="s">
        <v>85</v>
      </c>
      <c r="C351" t="s">
        <v>1526</v>
      </c>
      <c r="D351" t="b">
        <v>1</v>
      </c>
      <c r="E351" t="b">
        <v>1</v>
      </c>
      <c r="I351" t="s">
        <v>1527</v>
      </c>
      <c r="J351">
        <v>3761</v>
      </c>
      <c r="K351">
        <v>141</v>
      </c>
      <c r="L351">
        <v>3457</v>
      </c>
      <c r="M351">
        <v>2014</v>
      </c>
      <c r="N351">
        <f t="shared" si="7"/>
        <v>282</v>
      </c>
      <c r="O351">
        <v>281</v>
      </c>
      <c r="P351">
        <v>1</v>
      </c>
      <c r="Q351">
        <v>1</v>
      </c>
      <c r="R351">
        <v>1</v>
      </c>
      <c r="S351" t="s">
        <v>33</v>
      </c>
      <c r="T351" t="str">
        <f>HYPERLINK("https://images.diginfra.net/framed3.html?imagesetuuid=e6c3b32f-6683-4b16-9444-37e515e232e1&amp;uri=https://images.diginfra.net/iiif/NL-HaNA_1.01.02/3761/NL-HaNA_1.01.02_3761_0141.jpg", "viewer_url")</f>
        <v>viewer_url</v>
      </c>
      <c r="U351" t="str">
        <f>HYPERLINK("https://images.diginfra.net/iiif/NL-HaNA_1.01.02/3761/NL-HaNA_1.01.02_3761_0141.jpg/3457,2014,915,1314/full/0/default.jpg", "iiif_url")</f>
        <v>iiif_url</v>
      </c>
      <c r="V351" t="s">
        <v>33</v>
      </c>
      <c r="W351" t="s">
        <v>435</v>
      </c>
      <c r="X351" t="str">
        <f>HYPERLINK("https://images.diginfra.net/framed3.html?imagesetuuid=e6c3b32f-6683-4b16-9444-37e515e232e1&amp;uri=https://images.diginfra.net/iiif/NL-HaNA_1.01.02/3761/NL-HaNA_1.01.02_3761_0139.jpg", "prev_meeting_viewer_url")</f>
        <v>prev_meeting_viewer_url</v>
      </c>
      <c r="Y351" t="str">
        <f>HYPERLINK("https://images.diginfra.net/iiif/NL-HaNA_1.01.02/3761/NL-HaNA_1.01.02_3761_0139.jpg/327,975,1100,2531/full/0/default.jpg", "prev_meeting_iiif_url")</f>
        <v>prev_meeting_iiif_url</v>
      </c>
      <c r="Z351" t="s">
        <v>44</v>
      </c>
      <c r="AA351" t="s">
        <v>1528</v>
      </c>
      <c r="AB351" t="str">
        <f>HYPERLINK("https://images.diginfra.net/framed3.html?imagesetuuid=e6c3b32f-6683-4b16-9444-37e515e232e1&amp;uri=https://images.diginfra.net/iiif/NL-HaNA_1.01.02/3761/NL-HaNA_1.01.02_3761_0144.jpg", "next_meeting_viewer_url")</f>
        <v>next_meeting_viewer_url</v>
      </c>
      <c r="AC351" t="str">
        <f>HYPERLINK("https://images.diginfra.net/iiif/NL-HaNA_1.01.02/3761/NL-HaNA_1.01.02_3761_0144.jpg/1265,2149,1094,1264/full/0/default.jpg", "next_meeting_iiif_url")</f>
        <v>next_meeting_iiif_url</v>
      </c>
    </row>
    <row r="352" spans="1:29" x14ac:dyDescent="0.2">
      <c r="A352" t="s">
        <v>1529</v>
      </c>
      <c r="B352" t="s">
        <v>30</v>
      </c>
      <c r="C352" t="s">
        <v>1530</v>
      </c>
      <c r="D352" t="b">
        <v>1</v>
      </c>
      <c r="E352" t="b">
        <v>1</v>
      </c>
      <c r="I352" t="s">
        <v>1531</v>
      </c>
      <c r="J352">
        <v>3808</v>
      </c>
      <c r="K352">
        <v>211</v>
      </c>
      <c r="L352">
        <v>1313</v>
      </c>
      <c r="M352">
        <v>1609</v>
      </c>
      <c r="N352">
        <f t="shared" si="7"/>
        <v>422</v>
      </c>
      <c r="O352">
        <v>420</v>
      </c>
      <c r="P352">
        <v>1</v>
      </c>
      <c r="Q352">
        <v>2</v>
      </c>
      <c r="R352">
        <v>1</v>
      </c>
      <c r="S352" t="s">
        <v>33</v>
      </c>
      <c r="T352" t="str">
        <f>HYPERLINK("https://images.diginfra.net/framed3.html?imagesetuuid=d7b14369-fedc-4c2f-b4ba-0014f4e297b6&amp;uri=https://images.diginfra.net/iiif/NL-HaNA_1.01.02/3808/NL-HaNA_1.01.02_3808_0211.jpg", "viewer_url")</f>
        <v>viewer_url</v>
      </c>
      <c r="U352" t="str">
        <f>HYPERLINK("https://images.diginfra.net/iiif/NL-HaNA_1.01.02/3808/NL-HaNA_1.01.02_3808_0211.jpg/1313,1609,899,1708/full/0/default.jpg", "iiif_url")</f>
        <v>iiif_url</v>
      </c>
      <c r="V352" t="s">
        <v>33</v>
      </c>
      <c r="W352" t="s">
        <v>1532</v>
      </c>
      <c r="X352" t="str">
        <f>HYPERLINK("https://images.diginfra.net/framed3.html?imagesetuuid=d7b14369-fedc-4c2f-b4ba-0014f4e297b6&amp;uri=https://images.diginfra.net/iiif/NL-HaNA_1.01.02/3808/NL-HaNA_1.01.02_3808_0209.jpg", "prev_meeting_viewer_url")</f>
        <v>prev_meeting_viewer_url</v>
      </c>
      <c r="Y352" t="str">
        <f>HYPERLINK("https://images.diginfra.net/iiif/NL-HaNA_1.01.02/3808/NL-HaNA_1.01.02_3808_0209.jpg/3247,852,1123,2590/full/0/default.jpg", "prev_meeting_iiif_url")</f>
        <v>prev_meeting_iiif_url</v>
      </c>
      <c r="Z352" t="s">
        <v>33</v>
      </c>
      <c r="AA352" t="s">
        <v>1533</v>
      </c>
      <c r="AB352" t="str">
        <f>HYPERLINK("https://images.diginfra.net/framed3.html?imagesetuuid=d7b14369-fedc-4c2f-b4ba-0014f4e297b6&amp;uri=https://images.diginfra.net/iiif/NL-HaNA_1.01.02/3808/NL-HaNA_1.01.02_3808_0214.jpg", "next_meeting_viewer_url")</f>
        <v>next_meeting_viewer_url</v>
      </c>
      <c r="AC352" t="str">
        <f>HYPERLINK("https://images.diginfra.net/iiif/NL-HaNA_1.01.02/3808/NL-HaNA_1.01.02_3808_0214.jpg/241,1697,1092,1704/full/0/default.jpg", "next_meeting_iiif_url")</f>
        <v>next_meeting_iiif_url</v>
      </c>
    </row>
    <row r="353" spans="1:29" x14ac:dyDescent="0.2">
      <c r="A353" t="s">
        <v>1534</v>
      </c>
      <c r="B353" t="s">
        <v>79</v>
      </c>
      <c r="D353" t="b">
        <v>1</v>
      </c>
      <c r="E353" t="b">
        <v>0</v>
      </c>
      <c r="N353">
        <f t="shared" si="7"/>
        <v>0</v>
      </c>
      <c r="T353" t="str">
        <f>HYPERLINK("None", "viewer_url")</f>
        <v>viewer_url</v>
      </c>
      <c r="U353" t="str">
        <f>HYPERLINK("None", "iiif_url")</f>
        <v>iiif_url</v>
      </c>
      <c r="V353" t="s">
        <v>44</v>
      </c>
      <c r="W353" t="s">
        <v>1535</v>
      </c>
      <c r="X353" t="str">
        <f>HYPERLINK("https://images.diginfra.net/framed3.html?imagesetuuid=e344f420-8808-4cb9-bb8a-07944ccb8c18&amp;uri=https://images.diginfra.net/iiif/NL-HaNA_1.01.02/3775/NL-HaNA_1.01.02_3775_0435.jpg", "prev_meeting_viewer_url")</f>
        <v>prev_meeting_viewer_url</v>
      </c>
      <c r="Y353" t="str">
        <f>HYPERLINK("https://images.diginfra.net/iiif/NL-HaNA_1.01.02/3775/NL-HaNA_1.01.02_3775_0435.jpg/2305,1791,1063,1652/full/0/default.jpg", "prev_meeting_iiif_url")</f>
        <v>prev_meeting_iiif_url</v>
      </c>
      <c r="Z353" t="s">
        <v>33</v>
      </c>
      <c r="AA353" t="s">
        <v>1536</v>
      </c>
      <c r="AB353" t="str">
        <f>HYPERLINK("https://images.diginfra.net/framed3.html?imagesetuuid=e344f420-8808-4cb9-bb8a-07944ccb8c18&amp;uri=https://images.diginfra.net/iiif/NL-HaNA_1.01.02/3775/NL-HaNA_1.01.02_3775_0439.jpg", "next_meeting_viewer_url")</f>
        <v>next_meeting_viewer_url</v>
      </c>
      <c r="AC353" t="str">
        <f>HYPERLINK("https://images.diginfra.net/iiif/NL-HaNA_1.01.02/3775/NL-HaNA_1.01.02_3775_0439.jpg/346,2544,1045,849/full/0/default.jpg", "next_meeting_iiif_url")</f>
        <v>next_meeting_iiif_url</v>
      </c>
    </row>
    <row r="354" spans="1:29" x14ac:dyDescent="0.2">
      <c r="A354" t="s">
        <v>1537</v>
      </c>
      <c r="B354" t="s">
        <v>48</v>
      </c>
      <c r="C354" t="s">
        <v>1538</v>
      </c>
      <c r="D354" t="b">
        <v>1</v>
      </c>
      <c r="E354" t="b">
        <v>1</v>
      </c>
      <c r="I354" t="s">
        <v>1539</v>
      </c>
      <c r="J354">
        <v>3775</v>
      </c>
      <c r="K354">
        <v>114</v>
      </c>
      <c r="L354">
        <v>1370</v>
      </c>
      <c r="M354">
        <v>1880</v>
      </c>
      <c r="N354">
        <f t="shared" si="7"/>
        <v>228</v>
      </c>
      <c r="O354">
        <v>226</v>
      </c>
      <c r="P354">
        <v>1</v>
      </c>
      <c r="Q354">
        <v>1</v>
      </c>
      <c r="R354">
        <v>0</v>
      </c>
      <c r="S354" t="s">
        <v>33</v>
      </c>
      <c r="T354" t="str">
        <f>HYPERLINK("https://images.diginfra.net/framed3.html?imagesetuuid=e344f420-8808-4cb9-bb8a-07944ccb8c18&amp;uri=https://images.diginfra.net/iiif/NL-HaNA_1.01.02/3775/NL-HaNA_1.01.02_3775_0114.jpg", "viewer_url")</f>
        <v>viewer_url</v>
      </c>
      <c r="U354" t="str">
        <f>HYPERLINK("https://images.diginfra.net/iiif/NL-HaNA_1.01.02/3775/NL-HaNA_1.01.02_3775_0114.jpg/1370,1880,897,1459/full/0/default.jpg", "iiif_url")</f>
        <v>iiif_url</v>
      </c>
      <c r="V354" t="s">
        <v>33</v>
      </c>
      <c r="W354" t="s">
        <v>1540</v>
      </c>
      <c r="X354" t="str">
        <f>HYPERLINK("https://images.diginfra.net/framed3.html?imagesetuuid=e344f420-8808-4cb9-bb8a-07944ccb8c18&amp;uri=https://images.diginfra.net/iiif/NL-HaNA_1.01.02/3775/NL-HaNA_1.01.02_3775_0111.jpg", "prev_meeting_viewer_url")</f>
        <v>prev_meeting_viewer_url</v>
      </c>
      <c r="Y354" t="str">
        <f>HYPERLINK("https://images.diginfra.net/iiif/NL-HaNA_1.01.02/3775/NL-HaNA_1.01.02_3775_0111.jpg/1238,544,1088,2917/full/0/default.jpg", "prev_meeting_iiif_url")</f>
        <v>prev_meeting_iiif_url</v>
      </c>
      <c r="Z354" t="s">
        <v>33</v>
      </c>
      <c r="AA354" t="s">
        <v>1541</v>
      </c>
      <c r="AB354" t="str">
        <f>HYPERLINK("https://images.diginfra.net/framed3.html?imagesetuuid=e344f420-8808-4cb9-bb8a-07944ccb8c18&amp;uri=https://images.diginfra.net/iiif/NL-HaNA_1.01.02/3775/NL-HaNA_1.01.02_3775_0114.jpg", "next_meeting_viewer_url")</f>
        <v>next_meeting_viewer_url</v>
      </c>
      <c r="AC354" t="str">
        <f>HYPERLINK("https://images.diginfra.net/iiif/NL-HaNA_1.01.02/3775/NL-HaNA_1.01.02_3775_0114.jpg/3251,700,1103,2685/full/0/default.jpg", "next_meeting_iiif_url")</f>
        <v>next_meeting_iiif_url</v>
      </c>
    </row>
    <row r="355" spans="1:29" x14ac:dyDescent="0.2">
      <c r="A355" t="s">
        <v>1542</v>
      </c>
      <c r="B355" t="s">
        <v>63</v>
      </c>
      <c r="D355" t="b">
        <v>0</v>
      </c>
      <c r="E355" t="b">
        <v>0</v>
      </c>
      <c r="I355" t="s">
        <v>1543</v>
      </c>
      <c r="J355">
        <v>3835</v>
      </c>
      <c r="K355">
        <v>404</v>
      </c>
      <c r="N355">
        <f t="shared" si="7"/>
        <v>808</v>
      </c>
      <c r="O355">
        <v>806</v>
      </c>
      <c r="P355">
        <v>1</v>
      </c>
      <c r="Q355">
        <v>1</v>
      </c>
      <c r="R355">
        <v>0</v>
      </c>
      <c r="S355" t="s">
        <v>33</v>
      </c>
      <c r="T355" t="str">
        <f>HYPERLINK("https://images.diginfra.net/framed3.html?imagesetuuid=473594ee-2ab0-4fbf-9da7-0e9d12acef41&amp;uri=https://images.diginfra.net/iiif/NL-HaNA_1.01.02/3835/NL-HaNA_1.01.02_3835_0404.jpg", "viewer_url")</f>
        <v>viewer_url</v>
      </c>
      <c r="U355" t="str">
        <f>HYPERLINK("https://images.diginfra.net/iiif/NL-HaNA_1.01.02/3835/NL-HaNA_1.01.02_3835_0404.jpg/1252,1493,1088,1942/full/0/default.jpg", "iiif_url")</f>
        <v>iiif_url</v>
      </c>
      <c r="V355" t="s">
        <v>33</v>
      </c>
      <c r="W355" t="s">
        <v>1544</v>
      </c>
      <c r="X355" t="str">
        <f>HYPERLINK("https://images.diginfra.net/framed3.html?imagesetuuid=473594ee-2ab0-4fbf-9da7-0e9d12acef41&amp;uri=https://images.diginfra.net/iiif/NL-HaNA_1.01.02/3835/NL-HaNA_1.01.02_3835_0400.jpg", "prev_meeting_viewer_url")</f>
        <v>prev_meeting_viewer_url</v>
      </c>
      <c r="Y355" t="str">
        <f>HYPERLINK("https://images.diginfra.net/iiif/NL-HaNA_1.01.02/3835/NL-HaNA_1.01.02_3835_0400.jpg/3313,2700,1027,738/full/0/default.jpg", "prev_meeting_iiif_url")</f>
        <v>prev_meeting_iiif_url</v>
      </c>
      <c r="Z355" t="s">
        <v>33</v>
      </c>
      <c r="AA355" t="s">
        <v>1545</v>
      </c>
      <c r="AB355" t="str">
        <f>HYPERLINK("https://images.diginfra.net/framed3.html?imagesetuuid=473594ee-2ab0-4fbf-9da7-0e9d12acef41&amp;uri=https://images.diginfra.net/iiif/NL-HaNA_1.01.02/3835/NL-HaNA_1.01.02_3835_0404.jpg", "next_meeting_viewer_url")</f>
        <v>next_meeting_viewer_url</v>
      </c>
      <c r="AC355" t="str">
        <f>HYPERLINK("https://images.diginfra.net/iiif/NL-HaNA_1.01.02/3835/NL-HaNA_1.01.02_3835_0404.jpg/1252,1493,1088,1942/full/0/default.jpg", "next_meeting_iiif_url")</f>
        <v>next_meeting_iiif_url</v>
      </c>
    </row>
    <row r="356" spans="1:29" x14ac:dyDescent="0.2">
      <c r="A356" t="s">
        <v>1546</v>
      </c>
      <c r="B356" t="s">
        <v>59</v>
      </c>
      <c r="D356" t="b">
        <v>0</v>
      </c>
      <c r="E356" t="b">
        <v>0</v>
      </c>
      <c r="I356" t="s">
        <v>1547</v>
      </c>
      <c r="J356">
        <v>3850</v>
      </c>
      <c r="K356">
        <v>315</v>
      </c>
      <c r="N356">
        <f t="shared" si="7"/>
        <v>630</v>
      </c>
      <c r="O356">
        <v>628</v>
      </c>
      <c r="P356">
        <v>1</v>
      </c>
      <c r="Q356">
        <v>1</v>
      </c>
      <c r="R356">
        <v>0</v>
      </c>
      <c r="S356" t="s">
        <v>33</v>
      </c>
      <c r="T356" t="str">
        <f>HYPERLINK("https://images.diginfra.net/framed3.html?imagesetuuid=c85930a5-cbb7-4080-aa48-a5bcfddd21f7&amp;uri=https://images.diginfra.net/iiif/NL-HaNA_1.01.02/3850/NL-HaNA_1.01.02_3850_0315.jpg", "viewer_url")</f>
        <v>viewer_url</v>
      </c>
      <c r="U356" t="str">
        <f>HYPERLINK("https://images.diginfra.net/iiif/NL-HaNA_1.01.02/3850/NL-HaNA_1.01.02_3850_0315.jpg/1180,473,1094,2984/full/0/default.jpg", "iiif_url")</f>
        <v>iiif_url</v>
      </c>
      <c r="V356" t="s">
        <v>33</v>
      </c>
      <c r="W356" t="s">
        <v>1548</v>
      </c>
      <c r="X356" t="str">
        <f>HYPERLINK("https://images.diginfra.net/framed3.html?imagesetuuid=c85930a5-cbb7-4080-aa48-a5bcfddd21f7&amp;uri=https://images.diginfra.net/iiif/NL-HaNA_1.01.02/3850/NL-HaNA_1.01.02_3850_0311.jpg", "prev_meeting_viewer_url")</f>
        <v>prev_meeting_viewer_url</v>
      </c>
      <c r="Y356" t="str">
        <f>HYPERLINK("https://images.diginfra.net/iiif/NL-HaNA_1.01.02/3850/NL-HaNA_1.01.02_3850_0311.jpg/1209,2595,1024,858/full/0/default.jpg", "prev_meeting_iiif_url")</f>
        <v>prev_meeting_iiif_url</v>
      </c>
      <c r="Z356" t="s">
        <v>33</v>
      </c>
      <c r="AA356" t="s">
        <v>1549</v>
      </c>
      <c r="AB356" t="str">
        <f>HYPERLINK("https://images.diginfra.net/framed3.html?imagesetuuid=c85930a5-cbb7-4080-aa48-a5bcfddd21f7&amp;uri=https://images.diginfra.net/iiif/NL-HaNA_1.01.02/3850/NL-HaNA_1.01.02_3850_0315.jpg", "next_meeting_viewer_url")</f>
        <v>next_meeting_viewer_url</v>
      </c>
      <c r="AC356" t="str">
        <f>HYPERLINK("https://images.diginfra.net/iiif/NL-HaNA_1.01.02/3850/NL-HaNA_1.01.02_3850_0315.jpg/1180,473,1094,2984/full/0/default.jpg", "next_meeting_iiif_url")</f>
        <v>next_meeting_iiif_url</v>
      </c>
    </row>
    <row r="357" spans="1:29" x14ac:dyDescent="0.2">
      <c r="A357" t="s">
        <v>1550</v>
      </c>
      <c r="B357" t="s">
        <v>37</v>
      </c>
      <c r="C357" t="s">
        <v>1551</v>
      </c>
      <c r="D357" t="b">
        <v>1</v>
      </c>
      <c r="E357" t="b">
        <v>1</v>
      </c>
      <c r="I357" t="s">
        <v>1552</v>
      </c>
      <c r="J357">
        <v>3819</v>
      </c>
      <c r="K357">
        <v>311</v>
      </c>
      <c r="L357">
        <v>439</v>
      </c>
      <c r="M357">
        <v>2391</v>
      </c>
      <c r="N357">
        <f t="shared" si="7"/>
        <v>622</v>
      </c>
      <c r="O357">
        <v>620</v>
      </c>
      <c r="P357">
        <v>0</v>
      </c>
      <c r="Q357">
        <v>2</v>
      </c>
      <c r="R357">
        <v>0</v>
      </c>
      <c r="S357" t="s">
        <v>33</v>
      </c>
      <c r="T357" t="str">
        <f>HYPERLINK("https://images.diginfra.net/framed3.html?imagesetuuid=711b4f86-3dbd-47ca-af9d-52eb1c30bc58&amp;uri=https://images.diginfra.net/iiif/NL-HaNA_1.01.02/3819/NL-HaNA_1.01.02_3819_0311.jpg", "viewer_url")</f>
        <v>viewer_url</v>
      </c>
      <c r="U357" t="str">
        <f>HYPERLINK("https://images.diginfra.net/iiif/NL-HaNA_1.01.02/3819/NL-HaNA_1.01.02_3819_0311.jpg/439,2391,856,919/full/0/default.jpg", "iiif_url")</f>
        <v>iiif_url</v>
      </c>
      <c r="V357" t="s">
        <v>33</v>
      </c>
      <c r="W357" t="s">
        <v>1553</v>
      </c>
      <c r="X357" t="str">
        <f>HYPERLINK("https://images.diginfra.net/framed3.html?imagesetuuid=711b4f86-3dbd-47ca-af9d-52eb1c30bc58&amp;uri=https://images.diginfra.net/iiif/NL-HaNA_1.01.02/3819/NL-HaNA_1.01.02_3819_0309.jpg", "prev_meeting_viewer_url")</f>
        <v>prev_meeting_viewer_url</v>
      </c>
      <c r="Y357" t="str">
        <f>HYPERLINK("https://images.diginfra.net/iiif/NL-HaNA_1.01.02/3819/NL-HaNA_1.01.02_3819_0309.jpg/2497,2412,1030,912/full/0/default.jpg", "prev_meeting_iiif_url")</f>
        <v>prev_meeting_iiif_url</v>
      </c>
      <c r="Z357" t="s">
        <v>33</v>
      </c>
      <c r="AA357" t="s">
        <v>795</v>
      </c>
      <c r="AB357" t="str">
        <f>HYPERLINK("https://images.diginfra.net/framed3.html?imagesetuuid=711b4f86-3dbd-47ca-af9d-52eb1c30bc58&amp;uri=https://images.diginfra.net/iiif/NL-HaNA_1.01.02/3819/NL-HaNA_1.01.02_3819_0314.jpg", "next_meeting_viewer_url")</f>
        <v>next_meeting_viewer_url</v>
      </c>
      <c r="AC357" t="str">
        <f>HYPERLINK("https://images.diginfra.net/iiif/NL-HaNA_1.01.02/3819/NL-HaNA_1.01.02_3819_0314.jpg/2395,471,1098,2845/full/0/default.jpg", "next_meeting_iiif_url")</f>
        <v>next_meeting_iiif_url</v>
      </c>
    </row>
    <row r="358" spans="1:29" x14ac:dyDescent="0.2">
      <c r="A358" t="s">
        <v>1554</v>
      </c>
      <c r="B358" t="s">
        <v>48</v>
      </c>
      <c r="C358" t="s">
        <v>1555</v>
      </c>
      <c r="D358" t="b">
        <v>1</v>
      </c>
      <c r="E358" t="b">
        <v>1</v>
      </c>
      <c r="I358" t="s">
        <v>1556</v>
      </c>
      <c r="J358">
        <v>3815</v>
      </c>
      <c r="K358">
        <v>384</v>
      </c>
      <c r="L358">
        <v>2532</v>
      </c>
      <c r="M358">
        <v>1775</v>
      </c>
      <c r="N358">
        <f t="shared" si="7"/>
        <v>768</v>
      </c>
      <c r="O358">
        <v>767</v>
      </c>
      <c r="P358">
        <v>0</v>
      </c>
      <c r="Q358">
        <v>1</v>
      </c>
      <c r="R358">
        <v>0</v>
      </c>
      <c r="S358" t="s">
        <v>33</v>
      </c>
      <c r="T358" t="str">
        <f>HYPERLINK("https://images.diginfra.net/framed3.html?imagesetuuid=c649f39d-5b94-4d9d-8000-33acd4342c36&amp;uri=https://images.diginfra.net/iiif/NL-HaNA_1.01.02/3815/NL-HaNA_1.01.02_3815_0384.jpg", "viewer_url")</f>
        <v>viewer_url</v>
      </c>
      <c r="U358" t="str">
        <f>HYPERLINK("https://images.diginfra.net/iiif/NL-HaNA_1.01.02/3815/NL-HaNA_1.01.02_3815_0384.jpg/2532,1775,904,1531/full/0/default.jpg", "iiif_url")</f>
        <v>iiif_url</v>
      </c>
      <c r="V358" t="s">
        <v>33</v>
      </c>
      <c r="W358" t="s">
        <v>1557</v>
      </c>
      <c r="X358" t="str">
        <f>HYPERLINK("https://images.diginfra.net/framed3.html?imagesetuuid=c649f39d-5b94-4d9d-8000-33acd4342c36&amp;uri=https://images.diginfra.net/iiif/NL-HaNA_1.01.02/3815/NL-HaNA_1.01.02_3815_0383.jpg", "prev_meeting_viewer_url")</f>
        <v>prev_meeting_viewer_url</v>
      </c>
      <c r="Y358" t="str">
        <f>HYPERLINK("https://images.diginfra.net/iiif/NL-HaNA_1.01.02/3815/NL-HaNA_1.01.02_3815_0383.jpg/2427,846,1091,2539/full/0/default.jpg", "prev_meeting_iiif_url")</f>
        <v>prev_meeting_iiif_url</v>
      </c>
      <c r="Z358" t="s">
        <v>33</v>
      </c>
      <c r="AA358" t="s">
        <v>1558</v>
      </c>
      <c r="AB358" t="str">
        <f>HYPERLINK("https://images.diginfra.net/framed3.html?imagesetuuid=c649f39d-5b94-4d9d-8000-33acd4342c36&amp;uri=https://images.diginfra.net/iiif/NL-HaNA_1.01.02/3815/NL-HaNA_1.01.02_3815_0385.jpg", "next_meeting_viewer_url")</f>
        <v>next_meeting_viewer_url</v>
      </c>
      <c r="AC358" t="str">
        <f>HYPERLINK("https://images.diginfra.net/iiif/NL-HaNA_1.01.02/3815/NL-HaNA_1.01.02_3815_0385.jpg/337,284,1101,3056/full/0/default.jpg", "next_meeting_iiif_url")</f>
        <v>next_meeting_iiif_url</v>
      </c>
    </row>
    <row r="359" spans="1:29" x14ac:dyDescent="0.2">
      <c r="A359" t="s">
        <v>1559</v>
      </c>
      <c r="B359" t="s">
        <v>79</v>
      </c>
      <c r="C359" t="s">
        <v>1560</v>
      </c>
      <c r="D359" t="b">
        <v>1</v>
      </c>
      <c r="E359" t="b">
        <v>1</v>
      </c>
      <c r="I359" t="s">
        <v>1561</v>
      </c>
      <c r="J359">
        <v>3822</v>
      </c>
      <c r="K359">
        <v>228</v>
      </c>
      <c r="L359">
        <v>339</v>
      </c>
      <c r="M359">
        <v>923</v>
      </c>
      <c r="N359">
        <f t="shared" si="7"/>
        <v>456</v>
      </c>
      <c r="O359">
        <v>454</v>
      </c>
      <c r="P359">
        <v>0</v>
      </c>
      <c r="Q359">
        <v>0</v>
      </c>
      <c r="R359">
        <v>13</v>
      </c>
      <c r="S359" t="s">
        <v>33</v>
      </c>
      <c r="T359" t="str">
        <f>HYPERLINK("https://images.diginfra.net/framed3.html?imagesetuuid=e0965315-891d-46c1-9dac-fc6b729921cf&amp;uri=https://images.diginfra.net/iiif/NL-HaNA_1.01.02/3822/NL-HaNA_1.01.02_3822_0228.jpg", "viewer_url")</f>
        <v>viewer_url</v>
      </c>
      <c r="U359" t="str">
        <f>HYPERLINK("https://images.diginfra.net/iiif/NL-HaNA_1.01.02/3822/NL-HaNA_1.01.02_3822_0228.jpg/339,923,898,2283/full/0/default.jpg", "iiif_url")</f>
        <v>iiif_url</v>
      </c>
      <c r="V359" t="s">
        <v>33</v>
      </c>
      <c r="W359" t="s">
        <v>1481</v>
      </c>
      <c r="X359" t="str">
        <f>HYPERLINK("https://images.diginfra.net/framed3.html?imagesetuuid=e0965315-891d-46c1-9dac-fc6b729921cf&amp;uri=https://images.diginfra.net/iiif/NL-HaNA_1.01.02/3822/NL-HaNA_1.01.02_3822_0226.jpg", "prev_meeting_viewer_url")</f>
        <v>prev_meeting_viewer_url</v>
      </c>
      <c r="Y359" t="str">
        <f>HYPERLINK("https://images.diginfra.net/iiif/NL-HaNA_1.01.02/3822/NL-HaNA_1.01.02_3822_0226.jpg/1264,1866,1060,1424/full/0/default.jpg", "prev_meeting_iiif_url")</f>
        <v>prev_meeting_iiif_url</v>
      </c>
      <c r="Z359" t="s">
        <v>33</v>
      </c>
      <c r="AA359" t="s">
        <v>1562</v>
      </c>
      <c r="AB359" t="str">
        <f>HYPERLINK("https://images.diginfra.net/framed3.html?imagesetuuid=e0965315-891d-46c1-9dac-fc6b729921cf&amp;uri=https://images.diginfra.net/iiif/NL-HaNA_1.01.02/3822/NL-HaNA_1.01.02_3822_0232.jpg", "next_meeting_viewer_url")</f>
        <v>next_meeting_viewer_url</v>
      </c>
      <c r="AC359" t="str">
        <f>HYPERLINK("https://images.diginfra.net/iiif/NL-HaNA_1.01.02/3822/NL-HaNA_1.01.02_3822_0232.jpg/3323,1299,1060,2004/full/0/default.jpg", "next_meeting_iiif_url")</f>
        <v>next_meeting_iiif_url</v>
      </c>
    </row>
    <row r="360" spans="1:29" x14ac:dyDescent="0.2">
      <c r="A360" t="s">
        <v>1563</v>
      </c>
      <c r="B360" t="s">
        <v>85</v>
      </c>
      <c r="C360" t="s">
        <v>1564</v>
      </c>
      <c r="D360" t="b">
        <v>1</v>
      </c>
      <c r="E360" t="b">
        <v>1</v>
      </c>
      <c r="I360" t="s">
        <v>1565</v>
      </c>
      <c r="J360">
        <v>3772</v>
      </c>
      <c r="K360">
        <v>530</v>
      </c>
      <c r="L360">
        <v>338</v>
      </c>
      <c r="M360">
        <v>1807</v>
      </c>
      <c r="N360">
        <f t="shared" si="7"/>
        <v>1060</v>
      </c>
      <c r="O360">
        <v>1058</v>
      </c>
      <c r="P360">
        <v>0</v>
      </c>
      <c r="Q360">
        <v>1</v>
      </c>
      <c r="R360">
        <v>0</v>
      </c>
      <c r="S360" t="s">
        <v>33</v>
      </c>
      <c r="T360" t="str">
        <f>HYPERLINK("https://images.diginfra.net/framed3.html?imagesetuuid=7816564e-398d-48a2-b251-a02a50cc0b59&amp;uri=https://images.diginfra.net/iiif/NL-HaNA_1.01.02/3772/NL-HaNA_1.01.02_3772_0530.jpg", "viewer_url")</f>
        <v>viewer_url</v>
      </c>
      <c r="U360" t="str">
        <f>HYPERLINK("https://images.diginfra.net/iiif/NL-HaNA_1.01.02/3772/NL-HaNA_1.01.02_3772_0530.jpg/338,1807,909,1512/full/0/default.jpg", "iiif_url")</f>
        <v>iiif_url</v>
      </c>
      <c r="V360" t="s">
        <v>33</v>
      </c>
      <c r="W360" t="s">
        <v>1566</v>
      </c>
      <c r="X360" t="str">
        <f>HYPERLINK("https://images.diginfra.net/framed3.html?imagesetuuid=7816564e-398d-48a2-b251-a02a50cc0b59&amp;uri=https://images.diginfra.net/iiif/NL-HaNA_1.01.02/3772/NL-HaNA_1.01.02_3772_0528.jpg", "prev_meeting_viewer_url")</f>
        <v>prev_meeting_viewer_url</v>
      </c>
      <c r="Y360" t="str">
        <f>HYPERLINK("https://images.diginfra.net/iiif/NL-HaNA_1.01.02/3772/NL-HaNA_1.01.02_3772_0528.jpg/313,2386,1026,1059/full/0/default.jpg", "prev_meeting_iiif_url")</f>
        <v>prev_meeting_iiif_url</v>
      </c>
      <c r="Z360" t="s">
        <v>33</v>
      </c>
      <c r="AA360" t="s">
        <v>1567</v>
      </c>
      <c r="AB360" t="str">
        <f>HYPERLINK("https://images.diginfra.net/framed3.html?imagesetuuid=7816564e-398d-48a2-b251-a02a50cc0b59&amp;uri=https://images.diginfra.net/iiif/NL-HaNA_1.01.02/3772/NL-HaNA_1.01.02_3772_0531.jpg", "next_meeting_viewer_url")</f>
        <v>next_meeting_viewer_url</v>
      </c>
      <c r="AC360" t="str">
        <f>HYPERLINK("https://images.diginfra.net/iiif/NL-HaNA_1.01.02/3772/NL-HaNA_1.01.02_3772_0531.jpg/2377,2075,1081,1274/full/0/default.jpg", "next_meeting_iiif_url")</f>
        <v>next_meeting_iiif_url</v>
      </c>
    </row>
    <row r="361" spans="1:29" x14ac:dyDescent="0.2">
      <c r="A361" t="s">
        <v>1568</v>
      </c>
      <c r="B361" t="s">
        <v>79</v>
      </c>
      <c r="C361" t="s">
        <v>1569</v>
      </c>
      <c r="D361" t="b">
        <v>1</v>
      </c>
      <c r="E361" t="b">
        <v>1</v>
      </c>
      <c r="I361" t="s">
        <v>1570</v>
      </c>
      <c r="J361">
        <v>3805</v>
      </c>
      <c r="K361">
        <v>281</v>
      </c>
      <c r="L361">
        <v>1284</v>
      </c>
      <c r="M361">
        <v>742</v>
      </c>
      <c r="N361">
        <f t="shared" si="7"/>
        <v>562</v>
      </c>
      <c r="O361">
        <v>560</v>
      </c>
      <c r="P361">
        <v>1</v>
      </c>
      <c r="Q361">
        <v>1</v>
      </c>
      <c r="R361">
        <v>0</v>
      </c>
      <c r="S361" t="s">
        <v>33</v>
      </c>
      <c r="T361" t="str">
        <f>HYPERLINK("https://images.diginfra.net/framed3.html?imagesetuuid=e8c5617e-c060-4d57-a0d9-c22a4796ba85&amp;uri=https://images.diginfra.net/iiif/NL-HaNA_1.01.02/3805/NL-HaNA_1.01.02_3805_0281.jpg", "viewer_url")</f>
        <v>viewer_url</v>
      </c>
      <c r="U361" t="str">
        <f>HYPERLINK("https://images.diginfra.net/iiif/NL-HaNA_1.01.02/3805/NL-HaNA_1.01.02_3805_0281.jpg/1284,742,907,2561/full/0/default.jpg", "iiif_url")</f>
        <v>iiif_url</v>
      </c>
      <c r="V361" t="s">
        <v>33</v>
      </c>
      <c r="W361" t="s">
        <v>1571</v>
      </c>
      <c r="X361" t="str">
        <f>HYPERLINK("https://images.diginfra.net/framed3.html?imagesetuuid=e8c5617e-c060-4d57-a0d9-c22a4796ba85&amp;uri=https://images.diginfra.net/iiif/NL-HaNA_1.01.02/3805/NL-HaNA_1.01.02_3805_0279.jpg", "prev_meeting_viewer_url")</f>
        <v>prev_meeting_viewer_url</v>
      </c>
      <c r="Y361" t="str">
        <f>HYPERLINK("https://images.diginfra.net/iiif/NL-HaNA_1.01.02/3805/NL-HaNA_1.01.02_3805_0279.jpg/3337,921,1098,2471/full/0/default.jpg", "prev_meeting_iiif_url")</f>
        <v>prev_meeting_iiif_url</v>
      </c>
      <c r="Z361" t="s">
        <v>33</v>
      </c>
      <c r="AA361" t="s">
        <v>1572</v>
      </c>
      <c r="AB361" t="str">
        <f>HYPERLINK("https://images.diginfra.net/framed3.html?imagesetuuid=e8c5617e-c060-4d57-a0d9-c22a4796ba85&amp;uri=https://images.diginfra.net/iiif/NL-HaNA_1.01.02/3805/NL-HaNA_1.01.02_3805_0284.jpg", "next_meeting_viewer_url")</f>
        <v>next_meeting_viewer_url</v>
      </c>
      <c r="AC361" t="str">
        <f>HYPERLINK("https://images.diginfra.net/iiif/NL-HaNA_1.01.02/3805/NL-HaNA_1.01.02_3805_0284.jpg/2353,595,1101,2824/full/0/default.jpg", "next_meeting_iiif_url")</f>
        <v>next_meeting_iiif_url</v>
      </c>
    </row>
    <row r="362" spans="1:29" x14ac:dyDescent="0.2">
      <c r="A362" t="s">
        <v>1573</v>
      </c>
      <c r="B362" t="s">
        <v>63</v>
      </c>
      <c r="D362" t="b">
        <v>0</v>
      </c>
      <c r="E362" t="b">
        <v>0</v>
      </c>
      <c r="I362" t="s">
        <v>1574</v>
      </c>
      <c r="J362">
        <v>3812</v>
      </c>
      <c r="K362">
        <v>162</v>
      </c>
      <c r="N362">
        <f t="shared" si="7"/>
        <v>324</v>
      </c>
      <c r="O362">
        <v>322</v>
      </c>
      <c r="P362">
        <v>1</v>
      </c>
      <c r="Q362">
        <v>0</v>
      </c>
      <c r="R362">
        <v>7</v>
      </c>
      <c r="S362" t="s">
        <v>33</v>
      </c>
      <c r="T362" t="str">
        <f>HYPERLINK("https://images.diginfra.net/framed3.html?imagesetuuid=2068053a-a1c4-40f9-a503-3778784a1420&amp;uri=https://images.diginfra.net/iiif/NL-HaNA_1.01.02/3812/NL-HaNA_1.01.02_3812_0162.jpg", "viewer_url")</f>
        <v>viewer_url</v>
      </c>
      <c r="U362" t="str">
        <f>HYPERLINK("https://images.diginfra.net/iiif/NL-HaNA_1.01.02/3812/NL-HaNA_1.01.02_3812_0162.jpg/1148,460,1124,2928/full/0/default.jpg", "iiif_url")</f>
        <v>iiif_url</v>
      </c>
      <c r="V362" t="s">
        <v>33</v>
      </c>
      <c r="W362" t="s">
        <v>1575</v>
      </c>
      <c r="X362" t="str">
        <f>HYPERLINK("https://images.diginfra.net/framed3.html?imagesetuuid=2068053a-a1c4-40f9-a503-3778784a1420&amp;uri=https://images.diginfra.net/iiif/NL-HaNA_1.01.02/3812/NL-HaNA_1.01.02_3812_0160.jpg", "prev_meeting_viewer_url")</f>
        <v>prev_meeting_viewer_url</v>
      </c>
      <c r="Y362" t="str">
        <f>HYPERLINK("https://images.diginfra.net/iiif/NL-HaNA_1.01.02/3812/NL-HaNA_1.01.02_3812_0160.jpg/2359,261,1138,3120/full/0/default.jpg", "prev_meeting_iiif_url")</f>
        <v>prev_meeting_iiif_url</v>
      </c>
      <c r="Z362" t="s">
        <v>33</v>
      </c>
      <c r="AA362" t="s">
        <v>1576</v>
      </c>
      <c r="AB362" t="str">
        <f>HYPERLINK("https://images.diginfra.net/framed3.html?imagesetuuid=2068053a-a1c4-40f9-a503-3778784a1420&amp;uri=https://images.diginfra.net/iiif/NL-HaNA_1.01.02/3812/NL-HaNA_1.01.02_3812_0162.jpg", "next_meeting_viewer_url")</f>
        <v>next_meeting_viewer_url</v>
      </c>
      <c r="AC362" t="str">
        <f>HYPERLINK("https://images.diginfra.net/iiif/NL-HaNA_1.01.02/3812/NL-HaNA_1.01.02_3812_0162.jpg/1148,460,1124,2928/full/0/default.jpg", "next_meeting_iiif_url")</f>
        <v>next_meeting_iiif_url</v>
      </c>
    </row>
    <row r="363" spans="1:29" x14ac:dyDescent="0.2">
      <c r="A363" t="s">
        <v>1577</v>
      </c>
      <c r="B363" t="s">
        <v>85</v>
      </c>
      <c r="C363" t="s">
        <v>1578</v>
      </c>
      <c r="D363" t="b">
        <v>1</v>
      </c>
      <c r="E363" t="b">
        <v>1</v>
      </c>
      <c r="I363" t="s">
        <v>1579</v>
      </c>
      <c r="J363">
        <v>3802</v>
      </c>
      <c r="K363">
        <v>132</v>
      </c>
      <c r="L363">
        <v>472</v>
      </c>
      <c r="M363">
        <v>2401</v>
      </c>
      <c r="N363">
        <f t="shared" si="7"/>
        <v>264</v>
      </c>
      <c r="O363">
        <v>262</v>
      </c>
      <c r="P363">
        <v>0</v>
      </c>
      <c r="Q363">
        <v>3</v>
      </c>
      <c r="R363">
        <v>0</v>
      </c>
      <c r="S363" t="s">
        <v>33</v>
      </c>
      <c r="T363" t="str">
        <f>HYPERLINK("https://images.diginfra.net/framed3.html?imagesetuuid=42a0dd68-0122-4267-985e-43a657deae45&amp;uri=https://images.diginfra.net/iiif/NL-HaNA_1.01.02/3802/NL-HaNA_1.01.02_3802_0132.jpg", "viewer_url")</f>
        <v>viewer_url</v>
      </c>
      <c r="U363" t="str">
        <f>HYPERLINK("https://images.diginfra.net/iiif/NL-HaNA_1.01.02/3802/NL-HaNA_1.01.02_3802_0132.jpg/472,2401,856,930/full/0/default.jpg", "iiif_url")</f>
        <v>iiif_url</v>
      </c>
      <c r="V363" t="s">
        <v>33</v>
      </c>
      <c r="W363" t="s">
        <v>1580</v>
      </c>
      <c r="X363" t="str">
        <f>HYPERLINK("https://images.diginfra.net/framed3.html?imagesetuuid=42a0dd68-0122-4267-985e-43a657deae45&amp;uri=https://images.diginfra.net/iiif/NL-HaNA_1.01.02/3802/NL-HaNA_1.01.02_3802_0131.jpg", "prev_meeting_viewer_url")</f>
        <v>prev_meeting_viewer_url</v>
      </c>
      <c r="Y363" t="str">
        <f>HYPERLINK("https://images.diginfra.net/iiif/NL-HaNA_1.01.02/3802/NL-HaNA_1.01.02_3802_0131.jpg/3391,419,1119,2953/full/0/default.jpg", "prev_meeting_iiif_url")</f>
        <v>prev_meeting_iiif_url</v>
      </c>
      <c r="Z363" t="s">
        <v>33</v>
      </c>
      <c r="AA363" t="s">
        <v>1581</v>
      </c>
      <c r="AB363" t="str">
        <f>HYPERLINK("https://images.diginfra.net/framed3.html?imagesetuuid=42a0dd68-0122-4267-985e-43a657deae45&amp;uri=https://images.diginfra.net/iiif/NL-HaNA_1.01.02/3802/NL-HaNA_1.01.02_3802_0134.jpg", "next_meeting_viewer_url")</f>
        <v>next_meeting_viewer_url</v>
      </c>
      <c r="AC363" t="str">
        <f>HYPERLINK("https://images.diginfra.net/iiif/NL-HaNA_1.01.02/3802/NL-HaNA_1.01.02_3802_0134.jpg/348,1476,1090,1940/full/0/default.jpg", "next_meeting_iiif_url")</f>
        <v>next_meeting_iiif_url</v>
      </c>
    </row>
    <row r="364" spans="1:29" x14ac:dyDescent="0.2">
      <c r="A364" t="s">
        <v>1582</v>
      </c>
      <c r="B364" t="s">
        <v>85</v>
      </c>
      <c r="C364" t="s">
        <v>1583</v>
      </c>
      <c r="D364" t="b">
        <v>1</v>
      </c>
      <c r="E364" t="b">
        <v>1</v>
      </c>
      <c r="I364" t="s">
        <v>1584</v>
      </c>
      <c r="J364">
        <v>3767</v>
      </c>
      <c r="K364">
        <v>184</v>
      </c>
      <c r="L364">
        <v>2614</v>
      </c>
      <c r="M364">
        <v>2356</v>
      </c>
      <c r="N364">
        <f t="shared" si="7"/>
        <v>368</v>
      </c>
      <c r="O364">
        <v>367</v>
      </c>
      <c r="P364">
        <v>0</v>
      </c>
      <c r="Q364">
        <v>4</v>
      </c>
      <c r="R364">
        <v>0</v>
      </c>
      <c r="S364" t="s">
        <v>33</v>
      </c>
      <c r="T364" t="str">
        <f>HYPERLINK("https://images.diginfra.net/framed3.html?imagesetuuid=1dfc3e45-daeb-4e8d-b5c8-e02b6196102c&amp;uri=https://images.diginfra.net/iiif/NL-HaNA_1.01.02/3767/NL-HaNA_1.01.02_3767_0184.jpg", "viewer_url")</f>
        <v>viewer_url</v>
      </c>
      <c r="U364" t="str">
        <f>HYPERLINK("https://images.diginfra.net/iiif/NL-HaNA_1.01.02/3767/NL-HaNA_1.01.02_3767_0184.jpg/2614,2356,912,962/full/0/default.jpg", "iiif_url")</f>
        <v>iiif_url</v>
      </c>
      <c r="V364" t="s">
        <v>33</v>
      </c>
      <c r="X364" t="str">
        <f>HYPERLINK("https://images.diginfra.net/framed3.html?imagesetuuid=1dfc3e45-daeb-4e8d-b5c8-e02b6196102c&amp;uri=https://images.diginfra.net/iiif/NL-HaNA_1.01.02/3767/NL-HaNA_1.01.02_3767_0183.jpg", "prev_meeting_viewer_url")</f>
        <v>prev_meeting_viewer_url</v>
      </c>
      <c r="Y364" t="str">
        <f>HYPERLINK("https://images.diginfra.net/iiif/NL-HaNA_1.01.02/3767/NL-HaNA_1.01.02_3767_0183.jpg/1285,338,1119,2931/full/0/default.jpg", "prev_meeting_iiif_url")</f>
        <v>prev_meeting_iiif_url</v>
      </c>
      <c r="Z364" t="s">
        <v>44</v>
      </c>
      <c r="AA364" t="s">
        <v>1585</v>
      </c>
      <c r="AB364" t="str">
        <f>HYPERLINK("https://images.diginfra.net/framed3.html?imagesetuuid=1dfc3e45-daeb-4e8d-b5c8-e02b6196102c&amp;uri=https://images.diginfra.net/iiif/NL-HaNA_1.01.02/3767/NL-HaNA_1.01.02_3767_0186.jpg", "next_meeting_viewer_url")</f>
        <v>next_meeting_viewer_url</v>
      </c>
      <c r="AC364" t="str">
        <f>HYPERLINK("https://images.diginfra.net/iiif/NL-HaNA_1.01.02/3767/NL-HaNA_1.01.02_3767_0186.jpg/2471,1585,1101,1819/full/0/default.jpg", "next_meeting_iiif_url")</f>
        <v>next_meeting_iiif_url</v>
      </c>
    </row>
    <row r="365" spans="1:29" x14ac:dyDescent="0.2">
      <c r="A365" t="s">
        <v>1586</v>
      </c>
      <c r="B365" t="s">
        <v>79</v>
      </c>
      <c r="D365" t="b">
        <v>1</v>
      </c>
      <c r="E365" t="b">
        <v>1</v>
      </c>
      <c r="I365" t="s">
        <v>1587</v>
      </c>
      <c r="J365">
        <v>3801</v>
      </c>
      <c r="K365">
        <v>467</v>
      </c>
      <c r="L365">
        <v>512</v>
      </c>
      <c r="M365">
        <v>3151</v>
      </c>
      <c r="N365">
        <f t="shared" si="7"/>
        <v>934</v>
      </c>
      <c r="O365">
        <v>932</v>
      </c>
      <c r="P365">
        <v>1</v>
      </c>
      <c r="Q365">
        <v>0</v>
      </c>
      <c r="R365">
        <v>0</v>
      </c>
      <c r="S365" t="s">
        <v>33</v>
      </c>
      <c r="T365" t="str">
        <f>HYPERLINK("https://images.diginfra.net/framed3.html?imagesetuuid=f36c8416-59a8-4b1a-a82a-ef225cbd1971&amp;uri=https://images.diginfra.net/iiif/NL-HaNA_1.01.02/3801/NL-HaNA_1.01.02_3801_0467.jpg", "viewer_url")</f>
        <v>viewer_url</v>
      </c>
      <c r="U365" t="str">
        <f>HYPERLINK("https://images.diginfra.net/iiif/NL-HaNA_1.01.02/3801/NL-HaNA_1.01.02_3801_0467.jpg/512,3151,691,130/full/0/default.jpg", "iiif_url")</f>
        <v>iiif_url</v>
      </c>
      <c r="V365" t="s">
        <v>33</v>
      </c>
      <c r="W365" t="s">
        <v>691</v>
      </c>
      <c r="X365" t="str">
        <f>HYPERLINK("https://images.diginfra.net/framed3.html?imagesetuuid=f36c8416-59a8-4b1a-a82a-ef225cbd1971&amp;uri=https://images.diginfra.net/iiif/NL-HaNA_1.01.02/3801/NL-HaNA_1.01.02_3801_0463.jpg", "prev_meeting_viewer_url")</f>
        <v>prev_meeting_viewer_url</v>
      </c>
      <c r="Y365" t="str">
        <f>HYPERLINK("https://images.diginfra.net/iiif/NL-HaNA_1.01.02/3801/NL-HaNA_1.01.02_3801_0463.jpg/2371,1522,1081,1856/full/0/default.jpg", "prev_meeting_iiif_url")</f>
        <v>prev_meeting_iiif_url</v>
      </c>
      <c r="Z365" t="s">
        <v>33</v>
      </c>
      <c r="AA365" t="s">
        <v>692</v>
      </c>
      <c r="AB365" t="str">
        <f>HYPERLINK("https://images.diginfra.net/framed3.html?imagesetuuid=f36c8416-59a8-4b1a-a82a-ef225cbd1971&amp;uri=https://images.diginfra.net/iiif/NL-HaNA_1.01.02/3801/NL-HaNA_1.01.02_3801_0468.jpg", "next_meeting_viewer_url")</f>
        <v>next_meeting_viewer_url</v>
      </c>
      <c r="AC365" t="str">
        <f>HYPERLINK("https://images.diginfra.net/iiif/NL-HaNA_1.01.02/3801/NL-HaNA_1.01.02_3801_0468.jpg/3295,1873,1091,1448/full/0/default.jpg", "next_meeting_iiif_url")</f>
        <v>next_meeting_iiif_url</v>
      </c>
    </row>
    <row r="366" spans="1:29" x14ac:dyDescent="0.2">
      <c r="A366" t="s">
        <v>1588</v>
      </c>
      <c r="B366" t="s">
        <v>37</v>
      </c>
      <c r="C366" t="s">
        <v>1589</v>
      </c>
      <c r="D366" t="b">
        <v>1</v>
      </c>
      <c r="E366" t="b">
        <v>1</v>
      </c>
      <c r="I366" t="s">
        <v>1590</v>
      </c>
      <c r="J366">
        <v>3765</v>
      </c>
      <c r="K366">
        <v>559</v>
      </c>
      <c r="L366">
        <v>2614</v>
      </c>
      <c r="M366">
        <v>2512</v>
      </c>
      <c r="N366">
        <f t="shared" si="7"/>
        <v>1118</v>
      </c>
      <c r="O366">
        <v>1117</v>
      </c>
      <c r="P366">
        <v>0</v>
      </c>
      <c r="Q366">
        <v>1</v>
      </c>
      <c r="R366">
        <v>0</v>
      </c>
      <c r="S366" t="s">
        <v>33</v>
      </c>
      <c r="T366" t="str">
        <f>HYPERLINK("https://images.diginfra.net/framed3.html?imagesetuuid=4dfc1a1b-8cdf-4492-b411-5e67950ce484&amp;uri=https://images.diginfra.net/iiif/NL-HaNA_1.01.02/3765/NL-HaNA_1.01.02_3765_0559.jpg", "viewer_url")</f>
        <v>viewer_url</v>
      </c>
      <c r="U366" t="str">
        <f>HYPERLINK("https://images.diginfra.net/iiif/NL-HaNA_1.01.02/3765/NL-HaNA_1.01.02_3765_0559.jpg/2614,2512,874,800/full/0/default.jpg", "iiif_url")</f>
        <v>iiif_url</v>
      </c>
      <c r="V366" t="s">
        <v>33</v>
      </c>
      <c r="W366" t="s">
        <v>1591</v>
      </c>
      <c r="X366" t="str">
        <f>HYPERLINK("https://images.diginfra.net/framed3.html?imagesetuuid=4dfc1a1b-8cdf-4492-b411-5e67950ce484&amp;uri=https://images.diginfra.net/iiif/NL-HaNA_1.01.02/3765/NL-HaNA_1.01.02_3765_0557.jpg", "prev_meeting_viewer_url")</f>
        <v>prev_meeting_viewer_url</v>
      </c>
      <c r="Y366" t="str">
        <f>HYPERLINK("https://images.diginfra.net/iiif/NL-HaNA_1.01.02/3765/NL-HaNA_1.01.02_3765_0557.jpg/1232,2099,1124,1319/full/0/default.jpg", "prev_meeting_iiif_url")</f>
        <v>prev_meeting_iiif_url</v>
      </c>
      <c r="Z366" t="s">
        <v>33</v>
      </c>
      <c r="AB366" t="str">
        <f>HYPERLINK("https://images.diginfra.net/framed3.html?imagesetuuid=4dfc1a1b-8cdf-4492-b411-5e67950ce484&amp;uri=https://images.diginfra.net/iiif/NL-HaNA_1.01.02/3765/NL-HaNA_1.01.02_3765_0562.jpg", "next_meeting_viewer_url")</f>
        <v>next_meeting_viewer_url</v>
      </c>
      <c r="AC366" t="str">
        <f>HYPERLINK("https://images.diginfra.net/iiif/NL-HaNA_1.01.02/3765/NL-HaNA_1.01.02_3765_0562.jpg/1282,371,1129,2970/full/0/default.jpg", "next_meeting_iiif_url")</f>
        <v>next_meeting_iiif_url</v>
      </c>
    </row>
    <row r="367" spans="1:29" x14ac:dyDescent="0.2">
      <c r="A367" t="s">
        <v>1592</v>
      </c>
      <c r="B367" t="s">
        <v>30</v>
      </c>
      <c r="C367" t="s">
        <v>1593</v>
      </c>
      <c r="D367" t="b">
        <v>1</v>
      </c>
      <c r="E367" t="b">
        <v>1</v>
      </c>
      <c r="I367" t="s">
        <v>1594</v>
      </c>
      <c r="J367">
        <v>3831</v>
      </c>
      <c r="K367">
        <v>364</v>
      </c>
      <c r="L367">
        <v>2488</v>
      </c>
      <c r="M367">
        <v>2382</v>
      </c>
      <c r="N367">
        <f t="shared" si="7"/>
        <v>728</v>
      </c>
      <c r="O367">
        <v>727</v>
      </c>
      <c r="P367">
        <v>0</v>
      </c>
      <c r="Q367">
        <v>2</v>
      </c>
      <c r="R367">
        <v>0</v>
      </c>
      <c r="S367" t="s">
        <v>33</v>
      </c>
      <c r="T367" t="str">
        <f>HYPERLINK("https://images.diginfra.net/framed3.html?imagesetuuid=fbccadee-0831-4262-9b53-6f48467f765a&amp;uri=https://images.diginfra.net/iiif/NL-HaNA_1.01.02/3831/NL-HaNA_1.01.02_3831_0364.jpg", "viewer_url")</f>
        <v>viewer_url</v>
      </c>
      <c r="U367" t="str">
        <f>HYPERLINK("https://images.diginfra.net/iiif/NL-HaNA_1.01.02/3831/NL-HaNA_1.01.02_3831_0364.jpg/2488,2382,833,843/full/0/default.jpg", "iiif_url")</f>
        <v>iiif_url</v>
      </c>
      <c r="V367" t="s">
        <v>33</v>
      </c>
      <c r="W367" t="s">
        <v>1595</v>
      </c>
      <c r="X367" t="str">
        <f>HYPERLINK("https://images.diginfra.net/framed3.html?imagesetuuid=fbccadee-0831-4262-9b53-6f48467f765a&amp;uri=https://images.diginfra.net/iiif/NL-HaNA_1.01.02/3831/NL-HaNA_1.01.02_3831_0363.jpg", "prev_meeting_viewer_url")</f>
        <v>prev_meeting_viewer_url</v>
      </c>
      <c r="Y367" t="str">
        <f>HYPERLINK("https://images.diginfra.net/iiif/NL-HaNA_1.01.02/3831/NL-HaNA_1.01.02_3831_0363.jpg/2346,573,1064,2789/full/0/default.jpg", "prev_meeting_iiif_url")</f>
        <v>prev_meeting_iiif_url</v>
      </c>
      <c r="Z367" t="s">
        <v>33</v>
      </c>
      <c r="AA367" t="s">
        <v>1596</v>
      </c>
      <c r="AB367" t="str">
        <f>HYPERLINK("https://images.diginfra.net/framed3.html?imagesetuuid=fbccadee-0831-4262-9b53-6f48467f765a&amp;uri=https://images.diginfra.net/iiif/NL-HaNA_1.01.02/3831/NL-HaNA_1.01.02_3831_0366.jpg", "next_meeting_viewer_url")</f>
        <v>next_meeting_viewer_url</v>
      </c>
      <c r="AC367" t="str">
        <f>HYPERLINK("https://images.diginfra.net/iiif/NL-HaNA_1.01.02/3831/NL-HaNA_1.01.02_3831_0366.jpg/2325,236,1078,3119/full/0/default.jpg", "next_meeting_iiif_url")</f>
        <v>next_meeting_iiif_url</v>
      </c>
    </row>
    <row r="368" spans="1:29" x14ac:dyDescent="0.2">
      <c r="A368" t="s">
        <v>1597</v>
      </c>
      <c r="B368" t="s">
        <v>37</v>
      </c>
      <c r="C368" t="s">
        <v>1598</v>
      </c>
      <c r="D368" t="b">
        <v>1</v>
      </c>
      <c r="E368" t="b">
        <v>1</v>
      </c>
      <c r="I368" t="s">
        <v>1599</v>
      </c>
      <c r="J368">
        <v>3761</v>
      </c>
      <c r="K368">
        <v>71</v>
      </c>
      <c r="L368">
        <v>418</v>
      </c>
      <c r="M368">
        <v>752</v>
      </c>
      <c r="N368">
        <f t="shared" si="7"/>
        <v>142</v>
      </c>
      <c r="O368">
        <v>140</v>
      </c>
      <c r="P368">
        <v>0</v>
      </c>
      <c r="Q368">
        <v>1</v>
      </c>
      <c r="R368">
        <v>0</v>
      </c>
      <c r="S368" t="s">
        <v>33</v>
      </c>
      <c r="T368" t="str">
        <f>HYPERLINK("https://images.diginfra.net/framed3.html?imagesetuuid=e6c3b32f-6683-4b16-9444-37e515e232e1&amp;uri=https://images.diginfra.net/iiif/NL-HaNA_1.01.02/3761/NL-HaNA_1.01.02_3761_0071.jpg", "viewer_url")</f>
        <v>viewer_url</v>
      </c>
      <c r="U368" t="str">
        <f>HYPERLINK("https://images.diginfra.net/iiif/NL-HaNA_1.01.02/3761/NL-HaNA_1.01.02_3761_0071.jpg/418,752,919,2606/full/0/default.jpg", "iiif_url")</f>
        <v>iiif_url</v>
      </c>
      <c r="V368" t="s">
        <v>33</v>
      </c>
      <c r="W368" t="s">
        <v>1600</v>
      </c>
      <c r="X368" t="str">
        <f>HYPERLINK("https://images.diginfra.net/framed3.html?imagesetuuid=e6c3b32f-6683-4b16-9444-37e515e232e1&amp;uri=https://images.diginfra.net/iiif/NL-HaNA_1.01.02/3761/NL-HaNA_1.01.02_3761_0069.jpg", "prev_meeting_viewer_url")</f>
        <v>prev_meeting_viewer_url</v>
      </c>
      <c r="Y368" t="str">
        <f>HYPERLINK("https://images.diginfra.net/iiif/NL-HaNA_1.01.02/3761/NL-HaNA_1.01.02_3761_0069.jpg/3376,1935,1103,1445/full/0/default.jpg", "prev_meeting_iiif_url")</f>
        <v>prev_meeting_iiif_url</v>
      </c>
      <c r="Z368" t="s">
        <v>33</v>
      </c>
      <c r="AA368" t="s">
        <v>1601</v>
      </c>
      <c r="AB368" t="str">
        <f>HYPERLINK("https://images.diginfra.net/framed3.html?imagesetuuid=e6c3b32f-6683-4b16-9444-37e515e232e1&amp;uri=https://images.diginfra.net/iiif/NL-HaNA_1.01.02/3761/NL-HaNA_1.01.02_3761_0073.jpg", "next_meeting_viewer_url")</f>
        <v>next_meeting_viewer_url</v>
      </c>
      <c r="AC368" t="str">
        <f>HYPERLINK("https://images.diginfra.net/iiif/NL-HaNA_1.01.02/3761/NL-HaNA_1.01.02_3761_0073.jpg/2500,2952,1038,493/full/0/default.jpg", "next_meeting_iiif_url")</f>
        <v>next_meeting_iiif_url</v>
      </c>
    </row>
    <row r="369" spans="1:29" x14ac:dyDescent="0.2">
      <c r="A369" t="s">
        <v>1602</v>
      </c>
      <c r="B369" t="s">
        <v>48</v>
      </c>
      <c r="C369" t="s">
        <v>1603</v>
      </c>
      <c r="D369" t="b">
        <v>1</v>
      </c>
      <c r="E369" t="b">
        <v>1</v>
      </c>
      <c r="I369" t="s">
        <v>1604</v>
      </c>
      <c r="J369">
        <v>3793</v>
      </c>
      <c r="K369">
        <v>327</v>
      </c>
      <c r="L369">
        <v>3577</v>
      </c>
      <c r="M369">
        <v>732</v>
      </c>
      <c r="N369">
        <f t="shared" si="7"/>
        <v>654</v>
      </c>
      <c r="O369">
        <v>653</v>
      </c>
      <c r="P369">
        <v>1</v>
      </c>
      <c r="Q369">
        <v>1</v>
      </c>
      <c r="R369">
        <v>0</v>
      </c>
      <c r="S369" t="s">
        <v>33</v>
      </c>
      <c r="T369" t="str">
        <f>HYPERLINK("https://images.diginfra.net/framed3.html?imagesetuuid=8305a309-5c79-4c0c-a981-7e350c76be32&amp;uri=https://images.diginfra.net/iiif/NL-HaNA_1.01.02/3793/NL-HaNA_1.01.02_3793_0327.jpg", "viewer_url")</f>
        <v>viewer_url</v>
      </c>
      <c r="U369" t="str">
        <f>HYPERLINK("https://images.diginfra.net/iiif/NL-HaNA_1.01.02/3793/NL-HaNA_1.01.02_3793_0327.jpg/3577,732,901,2558/full/0/default.jpg", "iiif_url")</f>
        <v>iiif_url</v>
      </c>
      <c r="V369" t="s">
        <v>33</v>
      </c>
      <c r="X369" t="str">
        <f>HYPERLINK("https://images.diginfra.net/framed3.html?imagesetuuid=8305a309-5c79-4c0c-a981-7e350c76be32&amp;uri=https://images.diginfra.net/iiif/NL-HaNA_1.01.02/3793/NL-HaNA_1.01.02_3793_0327.jpg", "prev_meeting_viewer_url")</f>
        <v>prev_meeting_viewer_url</v>
      </c>
      <c r="Y369" t="str">
        <f>HYPERLINK("https://images.diginfra.net/iiif/NL-HaNA_1.01.02/3793/NL-HaNA_1.01.02_3793_0327.jpg/1182,415,1153,3063/full/0/default.jpg", "prev_meeting_iiif_url")</f>
        <v>prev_meeting_iiif_url</v>
      </c>
      <c r="Z369" t="s">
        <v>33</v>
      </c>
      <c r="AA369" t="s">
        <v>1605</v>
      </c>
      <c r="AB369" t="str">
        <f>HYPERLINK("https://images.diginfra.net/framed3.html?imagesetuuid=8305a309-5c79-4c0c-a981-7e350c76be32&amp;uri=https://images.diginfra.net/iiif/NL-HaNA_1.01.02/3793/NL-HaNA_1.01.02_3793_0328.jpg", "next_meeting_viewer_url")</f>
        <v>next_meeting_viewer_url</v>
      </c>
      <c r="AC369" t="str">
        <f>HYPERLINK("https://images.diginfra.net/iiif/NL-HaNA_1.01.02/3793/NL-HaNA_1.01.02_3793_0328.jpg/3458,1187,1101,2279/full/0/default.jpg", "next_meeting_iiif_url")</f>
        <v>next_meeting_iiif_url</v>
      </c>
    </row>
    <row r="370" spans="1:29" x14ac:dyDescent="0.2">
      <c r="A370" t="s">
        <v>1606</v>
      </c>
      <c r="B370" t="s">
        <v>30</v>
      </c>
      <c r="C370" t="s">
        <v>1607</v>
      </c>
      <c r="D370" t="b">
        <v>1</v>
      </c>
      <c r="E370" t="b">
        <v>1</v>
      </c>
      <c r="I370" t="s">
        <v>1608</v>
      </c>
      <c r="J370">
        <v>3765</v>
      </c>
      <c r="K370">
        <v>109</v>
      </c>
      <c r="L370">
        <v>403</v>
      </c>
      <c r="M370">
        <v>396</v>
      </c>
      <c r="N370">
        <f t="shared" si="7"/>
        <v>218</v>
      </c>
      <c r="O370">
        <v>216</v>
      </c>
      <c r="P370">
        <v>0</v>
      </c>
      <c r="Q370">
        <v>0</v>
      </c>
      <c r="R370">
        <v>0</v>
      </c>
      <c r="S370" t="s">
        <v>33</v>
      </c>
      <c r="T370" t="str">
        <f>HYPERLINK("https://images.diginfra.net/framed3.html?imagesetuuid=4dfc1a1b-8cdf-4492-b411-5e67950ce484&amp;uri=https://images.diginfra.net/iiif/NL-HaNA_1.01.02/3765/NL-HaNA_1.01.02_3765_0109.jpg", "viewer_url")</f>
        <v>viewer_url</v>
      </c>
      <c r="U370" t="str">
        <f>HYPERLINK("https://images.diginfra.net/iiif/NL-HaNA_1.01.02/3765/NL-HaNA_1.01.02_3765_0109.jpg/403,396,952,2930/full/0/default.jpg", "iiif_url")</f>
        <v>iiif_url</v>
      </c>
      <c r="V370" t="s">
        <v>33</v>
      </c>
      <c r="W370" t="s">
        <v>1609</v>
      </c>
      <c r="X370" t="str">
        <f>HYPERLINK("https://images.diginfra.net/framed3.html?imagesetuuid=4dfc1a1b-8cdf-4492-b411-5e67950ce484&amp;uri=https://images.diginfra.net/iiif/NL-HaNA_1.01.02/3765/NL-HaNA_1.01.02_3765_0107.jpg", "prev_meeting_viewer_url")</f>
        <v>prev_meeting_viewer_url</v>
      </c>
      <c r="Y370" t="str">
        <f>HYPERLINK("https://images.diginfra.net/iiif/NL-HaNA_1.01.02/3765/NL-HaNA_1.01.02_3765_0107.jpg/1411,2894,842,461/full/0/default.jpg", "prev_meeting_iiif_url")</f>
        <v>prev_meeting_iiif_url</v>
      </c>
      <c r="Z370" t="s">
        <v>33</v>
      </c>
      <c r="AA370" t="s">
        <v>1610</v>
      </c>
      <c r="AB370" t="str">
        <f>HYPERLINK("https://images.diginfra.net/framed3.html?imagesetuuid=4dfc1a1b-8cdf-4492-b411-5e67950ce484&amp;uri=https://images.diginfra.net/iiif/NL-HaNA_1.01.02/3765/NL-HaNA_1.01.02_3765_0111.jpg", "next_meeting_viewer_url")</f>
        <v>next_meeting_viewer_url</v>
      </c>
      <c r="AC370" t="str">
        <f>HYPERLINK("https://images.diginfra.net/iiif/NL-HaNA_1.01.02/3765/NL-HaNA_1.01.02_3765_0111.jpg/388,2719,1047,649/full/0/default.jpg", "next_meeting_iiif_url")</f>
        <v>next_meeting_iiif_url</v>
      </c>
    </row>
    <row r="371" spans="1:29" x14ac:dyDescent="0.2">
      <c r="A371" t="s">
        <v>1611</v>
      </c>
      <c r="B371" t="s">
        <v>59</v>
      </c>
      <c r="D371" t="b">
        <v>0</v>
      </c>
      <c r="E371" t="b">
        <v>0</v>
      </c>
      <c r="I371" t="s">
        <v>1612</v>
      </c>
      <c r="J371">
        <v>3857</v>
      </c>
      <c r="K371">
        <v>59</v>
      </c>
      <c r="N371">
        <f t="shared" si="7"/>
        <v>118</v>
      </c>
      <c r="O371">
        <v>116</v>
      </c>
      <c r="P371">
        <v>0</v>
      </c>
      <c r="Q371">
        <v>1</v>
      </c>
      <c r="R371">
        <v>0</v>
      </c>
      <c r="S371" t="s">
        <v>33</v>
      </c>
      <c r="T371" t="str">
        <f>HYPERLINK("https://images.diginfra.net/framed3.html?imagesetuuid=bdc1056d-db1f-4bb6-bf02-36bea1fa2f06&amp;uri=https://images.diginfra.net/iiif/NL-HaNA_1.01.02/3857/NL-HaNA_1.01.02_3857_0059.jpg", "viewer_url")</f>
        <v>viewer_url</v>
      </c>
      <c r="U371" t="str">
        <f>HYPERLINK("https://images.diginfra.net/iiif/NL-HaNA_1.01.02/3857/NL-HaNA_1.01.02_3857_0059.jpg/337,2049,1021,1459/full/0/default.jpg", "iiif_url")</f>
        <v>iiif_url</v>
      </c>
      <c r="V371" t="s">
        <v>33</v>
      </c>
      <c r="W371" t="s">
        <v>1613</v>
      </c>
      <c r="X371" t="str">
        <f>HYPERLINK("https://images.diginfra.net/framed3.html?imagesetuuid=bdc1056d-db1f-4bb6-bf02-36bea1fa2f06&amp;uri=https://images.diginfra.net/iiif/NL-HaNA_1.01.02/3857/NL-HaNA_1.01.02_3857_0057.jpg", "prev_meeting_viewer_url")</f>
        <v>prev_meeting_viewer_url</v>
      </c>
      <c r="Y371" t="str">
        <f>HYPERLINK("https://images.diginfra.net/iiif/NL-HaNA_1.01.02/3857/NL-HaNA_1.01.02_3857_0057.jpg/2379,2406,1009,1025/full/0/default.jpg", "prev_meeting_iiif_url")</f>
        <v>prev_meeting_iiif_url</v>
      </c>
      <c r="Z371" t="s">
        <v>33</v>
      </c>
      <c r="AA371" t="s">
        <v>1614</v>
      </c>
      <c r="AB371" t="str">
        <f>HYPERLINK("https://images.diginfra.net/framed3.html?imagesetuuid=bdc1056d-db1f-4bb6-bf02-36bea1fa2f06&amp;uri=https://images.diginfra.net/iiif/NL-HaNA_1.01.02/3857/NL-HaNA_1.01.02_3857_0059.jpg", "next_meeting_viewer_url")</f>
        <v>next_meeting_viewer_url</v>
      </c>
      <c r="AC371" t="str">
        <f>HYPERLINK("https://images.diginfra.net/iiif/NL-HaNA_1.01.02/3857/NL-HaNA_1.01.02_3857_0059.jpg/337,2049,1021,1459/full/0/default.jpg", "next_meeting_iiif_url")</f>
        <v>next_meeting_iiif_url</v>
      </c>
    </row>
    <row r="372" spans="1:29" x14ac:dyDescent="0.2">
      <c r="A372" t="s">
        <v>1615</v>
      </c>
      <c r="B372" t="s">
        <v>85</v>
      </c>
      <c r="C372" t="s">
        <v>1616</v>
      </c>
      <c r="D372" t="b">
        <v>1</v>
      </c>
      <c r="E372" t="b">
        <v>1</v>
      </c>
      <c r="I372" t="s">
        <v>1617</v>
      </c>
      <c r="J372">
        <v>3831</v>
      </c>
      <c r="K372">
        <v>284</v>
      </c>
      <c r="L372">
        <v>3489</v>
      </c>
      <c r="M372">
        <v>2813</v>
      </c>
      <c r="N372">
        <f t="shared" si="7"/>
        <v>568</v>
      </c>
      <c r="O372">
        <v>567</v>
      </c>
      <c r="P372">
        <v>1</v>
      </c>
      <c r="Q372">
        <v>1</v>
      </c>
      <c r="R372">
        <v>8</v>
      </c>
      <c r="S372" t="s">
        <v>33</v>
      </c>
      <c r="T372" t="str">
        <f>HYPERLINK("https://images.diginfra.net/framed3.html?imagesetuuid=fbccadee-0831-4262-9b53-6f48467f765a&amp;uri=https://images.diginfra.net/iiif/NL-HaNA_1.01.02/3831/NL-HaNA_1.01.02_3831_0284.jpg", "viewer_url")</f>
        <v>viewer_url</v>
      </c>
      <c r="U372" t="str">
        <f>HYPERLINK("https://images.diginfra.net/iiif/NL-HaNA_1.01.02/3831/NL-HaNA_1.01.02_3831_0284.jpg/3489,2813,832,507/full/0/default.jpg", "iiif_url")</f>
        <v>iiif_url</v>
      </c>
      <c r="V372" t="s">
        <v>33</v>
      </c>
      <c r="W372" t="s">
        <v>1618</v>
      </c>
      <c r="X372" t="str">
        <f>HYPERLINK("https://images.diginfra.net/framed3.html?imagesetuuid=fbccadee-0831-4262-9b53-6f48467f765a&amp;uri=https://images.diginfra.net/iiif/NL-HaNA_1.01.02/3831/NL-HaNA_1.01.02_3831_0283.jpg", "prev_meeting_viewer_url")</f>
        <v>prev_meeting_viewer_url</v>
      </c>
      <c r="Y372" t="str">
        <f>HYPERLINK("https://images.diginfra.net/iiif/NL-HaNA_1.01.02/3831/NL-HaNA_1.01.02_3831_0283.jpg/3301,1652,1071,1750/full/0/default.jpg", "prev_meeting_iiif_url")</f>
        <v>prev_meeting_iiif_url</v>
      </c>
      <c r="Z372" t="s">
        <v>33</v>
      </c>
      <c r="AA372" t="s">
        <v>1619</v>
      </c>
      <c r="AB372" t="str">
        <f>HYPERLINK("https://images.diginfra.net/framed3.html?imagesetuuid=fbccadee-0831-4262-9b53-6f48467f765a&amp;uri=https://images.diginfra.net/iiif/NL-HaNA_1.01.02/3831/NL-HaNA_1.01.02_3831_0287.jpg", "next_meeting_viewer_url")</f>
        <v>next_meeting_viewer_url</v>
      </c>
      <c r="AC372" t="str">
        <f>HYPERLINK("https://images.diginfra.net/iiif/NL-HaNA_1.01.02/3831/NL-HaNA_1.01.02_3831_0287.jpg/3314,2073,1051,1158/full/0/default.jpg", "next_meeting_iiif_url")</f>
        <v>next_meeting_iiif_url</v>
      </c>
    </row>
    <row r="373" spans="1:29" x14ac:dyDescent="0.2">
      <c r="A373" t="s">
        <v>1620</v>
      </c>
      <c r="B373" t="s">
        <v>37</v>
      </c>
      <c r="C373" t="s">
        <v>497</v>
      </c>
      <c r="D373" t="b">
        <v>1</v>
      </c>
      <c r="E373" t="b">
        <v>1</v>
      </c>
      <c r="I373" t="s">
        <v>1621</v>
      </c>
      <c r="J373">
        <v>3842</v>
      </c>
      <c r="K373">
        <v>125</v>
      </c>
      <c r="L373">
        <v>2390</v>
      </c>
      <c r="M373">
        <v>1333</v>
      </c>
      <c r="N373">
        <f t="shared" si="7"/>
        <v>250</v>
      </c>
      <c r="O373">
        <v>249</v>
      </c>
      <c r="P373">
        <v>0</v>
      </c>
      <c r="Q373">
        <v>0</v>
      </c>
      <c r="R373">
        <v>0</v>
      </c>
      <c r="S373" t="s">
        <v>33</v>
      </c>
      <c r="T373" t="str">
        <f>HYPERLINK("https://images.diginfra.net/framed3.html?imagesetuuid=70f1fd11-1c44-41eb-aebd-1f9cc88be8c8&amp;uri=https://images.diginfra.net/iiif/NL-HaNA_1.01.02/3842/NL-HaNA_1.01.02_3842_0125.jpg", "viewer_url")</f>
        <v>viewer_url</v>
      </c>
      <c r="U373" t="str">
        <f>HYPERLINK("https://images.diginfra.net/iiif/NL-HaNA_1.01.02/3842/NL-HaNA_1.01.02_3842_0125.jpg/2390,1333,1837,1804/full/0/default.jpg", "iiif_url")</f>
        <v>iiif_url</v>
      </c>
      <c r="Z373" t="s">
        <v>33</v>
      </c>
      <c r="AA373" t="s">
        <v>1622</v>
      </c>
      <c r="AB373" t="str">
        <f>HYPERLINK("https://images.diginfra.net/framed3.html?imagesetuuid=70f1fd11-1c44-41eb-aebd-1f9cc88be8c8&amp;uri=https://images.diginfra.net/iiif/NL-HaNA_1.01.02/3842/NL-HaNA_1.01.02_3842_0127.jpg", "next_meeting_viewer_url")</f>
        <v>next_meeting_viewer_url</v>
      </c>
      <c r="AC373" t="str">
        <f>HYPERLINK("https://images.diginfra.net/iiif/NL-HaNA_1.01.02/3842/NL-HaNA_1.01.02_3842_0127.jpg/1186,468,1090,2853/full/0/default.jpg", "next_meeting_iiif_url")</f>
        <v>next_meeting_iiif_url</v>
      </c>
    </row>
    <row r="374" spans="1:29" x14ac:dyDescent="0.2">
      <c r="A374" t="s">
        <v>1623</v>
      </c>
      <c r="B374" t="s">
        <v>79</v>
      </c>
      <c r="C374" t="s">
        <v>1624</v>
      </c>
      <c r="D374" t="b">
        <v>1</v>
      </c>
      <c r="E374" t="b">
        <v>1</v>
      </c>
      <c r="I374" t="s">
        <v>1625</v>
      </c>
      <c r="J374">
        <v>3855</v>
      </c>
      <c r="K374">
        <v>239</v>
      </c>
      <c r="L374">
        <v>422</v>
      </c>
      <c r="M374">
        <v>1230</v>
      </c>
      <c r="N374">
        <f t="shared" si="7"/>
        <v>478</v>
      </c>
      <c r="O374">
        <v>476</v>
      </c>
      <c r="P374">
        <v>0</v>
      </c>
      <c r="Q374">
        <v>1</v>
      </c>
      <c r="R374">
        <v>0</v>
      </c>
      <c r="S374" t="s">
        <v>33</v>
      </c>
      <c r="T374" t="str">
        <f>HYPERLINK("https://images.diginfra.net/framed3.html?imagesetuuid=5244deb9-8f97-4a39-89ba-6da1d308b8f5&amp;uri=https://images.diginfra.net/iiif/NL-HaNA_1.01.02/3855/NL-HaNA_1.01.02_3855_0239.jpg", "viewer_url")</f>
        <v>viewer_url</v>
      </c>
      <c r="U374" t="str">
        <f>HYPERLINK("https://images.diginfra.net/iiif/NL-HaNA_1.01.02/3855/NL-HaNA_1.01.02_3855_0239.jpg/422,1230,889,2078/full/0/default.jpg", "iiif_url")</f>
        <v>iiif_url</v>
      </c>
      <c r="V374" t="s">
        <v>33</v>
      </c>
      <c r="W374" t="s">
        <v>1626</v>
      </c>
      <c r="X374" t="str">
        <f>HYPERLINK("https://images.diginfra.net/framed3.html?imagesetuuid=5244deb9-8f97-4a39-89ba-6da1d308b8f5&amp;uri=https://images.diginfra.net/iiif/NL-HaNA_1.01.02/3855/NL-HaNA_1.01.02_3855_0235.jpg", "prev_meeting_viewer_url")</f>
        <v>prev_meeting_viewer_url</v>
      </c>
      <c r="Y374" t="str">
        <f>HYPERLINK("https://images.diginfra.net/iiif/NL-HaNA_1.01.02/3855/NL-HaNA_1.01.02_3855_0235.jpg/1229,974,1081,2424/full/0/default.jpg", "prev_meeting_iiif_url")</f>
        <v>prev_meeting_iiif_url</v>
      </c>
      <c r="Z374" t="s">
        <v>33</v>
      </c>
      <c r="AA374" t="s">
        <v>1627</v>
      </c>
      <c r="AB374" t="str">
        <f>HYPERLINK("https://images.diginfra.net/framed3.html?imagesetuuid=5244deb9-8f97-4a39-89ba-6da1d308b8f5&amp;uri=https://images.diginfra.net/iiif/NL-HaNA_1.01.02/3855/NL-HaNA_1.01.02_3855_0241.jpg", "next_meeting_viewer_url")</f>
        <v>next_meeting_viewer_url</v>
      </c>
      <c r="AC374" t="str">
        <f>HYPERLINK("https://images.diginfra.net/iiif/NL-HaNA_1.01.02/3855/NL-HaNA_1.01.02_3855_0241.jpg/364,1685,1066,1742/full/0/default.jpg", "next_meeting_iiif_url")</f>
        <v>next_meeting_iiif_url</v>
      </c>
    </row>
    <row r="375" spans="1:29" x14ac:dyDescent="0.2">
      <c r="A375" t="s">
        <v>1628</v>
      </c>
      <c r="B375" t="s">
        <v>37</v>
      </c>
      <c r="C375" t="s">
        <v>1629</v>
      </c>
      <c r="D375" t="b">
        <v>1</v>
      </c>
      <c r="E375" t="b">
        <v>1</v>
      </c>
      <c r="I375" t="s">
        <v>1630</v>
      </c>
      <c r="J375">
        <v>3852</v>
      </c>
      <c r="K375">
        <v>374</v>
      </c>
      <c r="L375">
        <v>2428</v>
      </c>
      <c r="M375">
        <v>384</v>
      </c>
      <c r="N375">
        <f t="shared" si="7"/>
        <v>748</v>
      </c>
      <c r="O375">
        <v>747</v>
      </c>
      <c r="P375">
        <v>0</v>
      </c>
      <c r="Q375">
        <v>0</v>
      </c>
      <c r="R375">
        <v>0</v>
      </c>
      <c r="S375" t="s">
        <v>33</v>
      </c>
      <c r="T375" t="str">
        <f>HYPERLINK("https://images.diginfra.net/framed3.html?imagesetuuid=3b3d915a-84ba-4c76-9942-747a007cc965&amp;uri=https://images.diginfra.net/iiif/NL-HaNA_1.01.02/3852/NL-HaNA_1.01.02_3852_0374.jpg", "viewer_url")</f>
        <v>viewer_url</v>
      </c>
      <c r="U375" t="str">
        <f>HYPERLINK("https://images.diginfra.net/iiif/NL-HaNA_1.01.02/3852/NL-HaNA_1.01.02_3852_0374.jpg/2428,384,896,2961/full/0/default.jpg", "iiif_url")</f>
        <v>iiif_url</v>
      </c>
      <c r="V375" t="s">
        <v>33</v>
      </c>
      <c r="W375" t="s">
        <v>1631</v>
      </c>
      <c r="X375" t="str">
        <f>HYPERLINK("https://images.diginfra.net/framed3.html?imagesetuuid=3b3d915a-84ba-4c76-9942-747a007cc965&amp;uri=https://images.diginfra.net/iiif/NL-HaNA_1.01.02/3852/NL-HaNA_1.01.02_3852_0374.jpg", "prev_meeting_viewer_url")</f>
        <v>prev_meeting_viewer_url</v>
      </c>
      <c r="Y375" t="str">
        <f>HYPERLINK("https://images.diginfra.net/iiif/NL-HaNA_1.01.02/3852/NL-HaNA_1.01.02_3852_0374.jpg/1281,640,1077,2745/full/0/default.jpg", "prev_meeting_iiif_url")</f>
        <v>prev_meeting_iiif_url</v>
      </c>
      <c r="Z375" t="s">
        <v>33</v>
      </c>
      <c r="AA375" t="s">
        <v>1632</v>
      </c>
      <c r="AB375" t="str">
        <f>HYPERLINK("https://images.diginfra.net/framed3.html?imagesetuuid=3b3d915a-84ba-4c76-9942-747a007cc965&amp;uri=https://images.diginfra.net/iiif/NL-HaNA_1.01.02/3852/NL-HaNA_1.01.02_3852_0377.jpg", "next_meeting_viewer_url")</f>
        <v>next_meeting_viewer_url</v>
      </c>
      <c r="AC375" t="str">
        <f>HYPERLINK("https://images.diginfra.net/iiif/NL-HaNA_1.01.02/3852/NL-HaNA_1.01.02_3852_0377.jpg/295,1386,1074,2043/full/0/default.jpg", "next_meeting_iiif_url")</f>
        <v>next_meeting_iiif_url</v>
      </c>
    </row>
    <row r="376" spans="1:29" x14ac:dyDescent="0.2">
      <c r="A376" t="s">
        <v>1633</v>
      </c>
      <c r="B376" t="s">
        <v>59</v>
      </c>
      <c r="C376" t="s">
        <v>1634</v>
      </c>
      <c r="D376" t="b">
        <v>1</v>
      </c>
      <c r="E376" t="b">
        <v>1</v>
      </c>
      <c r="I376" t="s">
        <v>1635</v>
      </c>
      <c r="J376">
        <v>3773</v>
      </c>
      <c r="K376">
        <v>60</v>
      </c>
      <c r="L376">
        <v>439</v>
      </c>
      <c r="M376">
        <v>2720</v>
      </c>
      <c r="N376">
        <f t="shared" si="7"/>
        <v>120</v>
      </c>
      <c r="O376">
        <v>118</v>
      </c>
      <c r="P376">
        <v>0</v>
      </c>
      <c r="Q376">
        <v>2</v>
      </c>
      <c r="R376">
        <v>0</v>
      </c>
      <c r="S376" t="s">
        <v>33</v>
      </c>
      <c r="T376" t="str">
        <f>HYPERLINK("https://images.diginfra.net/framed3.html?imagesetuuid=0d0ede5e-a7f6-4a03-b996-493e50528c24&amp;uri=https://images.diginfra.net/iiif/NL-HaNA_1.01.02/3773/NL-HaNA_1.01.02_3773_0060.jpg", "viewer_url")</f>
        <v>viewer_url</v>
      </c>
      <c r="U376" t="str">
        <f>HYPERLINK("https://images.diginfra.net/iiif/NL-HaNA_1.01.02/3773/NL-HaNA_1.01.02_3773_0060.jpg/439,2720,850,629/full/0/default.jpg", "iiif_url")</f>
        <v>iiif_url</v>
      </c>
      <c r="V376" t="s">
        <v>33</v>
      </c>
      <c r="W376" t="s">
        <v>1636</v>
      </c>
      <c r="X376" t="str">
        <f>HYPERLINK("https://images.diginfra.net/framed3.html?imagesetuuid=0d0ede5e-a7f6-4a03-b996-493e50528c24&amp;uri=https://images.diginfra.net/iiif/NL-HaNA_1.01.02/3773/NL-HaNA_1.01.02_3773_0058.jpg", "prev_meeting_viewer_url")</f>
        <v>prev_meeting_viewer_url</v>
      </c>
      <c r="Y376" t="str">
        <f>HYPERLINK("https://images.diginfra.net/iiif/NL-HaNA_1.01.02/3773/NL-HaNA_1.01.02_3773_0058.jpg/296,1380,1086,2012/full/0/default.jpg", "prev_meeting_iiif_url")</f>
        <v>prev_meeting_iiif_url</v>
      </c>
      <c r="Z376" t="s">
        <v>33</v>
      </c>
      <c r="AA376" t="s">
        <v>1637</v>
      </c>
      <c r="AB376" t="str">
        <f>HYPERLINK("https://images.diginfra.net/framed3.html?imagesetuuid=0d0ede5e-a7f6-4a03-b996-493e50528c24&amp;uri=https://images.diginfra.net/iiif/NL-HaNA_1.01.02/3773/NL-HaNA_1.01.02_3773_0061.jpg", "next_meeting_viewer_url")</f>
        <v>next_meeting_viewer_url</v>
      </c>
      <c r="AC376" t="str">
        <f>HYPERLINK("https://images.diginfra.net/iiif/NL-HaNA_1.01.02/3773/NL-HaNA_1.01.02_3773_0061.jpg/1246,868,1104,2566/full/0/default.jpg", "next_meeting_iiif_url")</f>
        <v>next_meeting_iiif_url</v>
      </c>
    </row>
    <row r="377" spans="1:29" x14ac:dyDescent="0.2">
      <c r="A377" t="s">
        <v>1638</v>
      </c>
      <c r="B377" t="s">
        <v>30</v>
      </c>
      <c r="C377" t="s">
        <v>1639</v>
      </c>
      <c r="D377" t="b">
        <v>1</v>
      </c>
      <c r="E377" t="b">
        <v>1</v>
      </c>
      <c r="I377" t="s">
        <v>1640</v>
      </c>
      <c r="J377">
        <v>3784</v>
      </c>
      <c r="K377">
        <v>298</v>
      </c>
      <c r="L377">
        <v>3358</v>
      </c>
      <c r="M377">
        <v>1310</v>
      </c>
      <c r="N377">
        <f t="shared" si="7"/>
        <v>596</v>
      </c>
      <c r="O377">
        <v>595</v>
      </c>
      <c r="P377">
        <v>1</v>
      </c>
      <c r="Q377">
        <v>1</v>
      </c>
      <c r="R377">
        <v>0</v>
      </c>
      <c r="S377" t="s">
        <v>33</v>
      </c>
      <c r="T377" t="str">
        <f>HYPERLINK("https://images.diginfra.net/framed3.html?imagesetuuid=cb2f6e2d-502d-41d8-a51c-455c64ed98c9&amp;uri=https://images.diginfra.net/iiif/NL-HaNA_1.01.02/3784/NL-HaNA_1.01.02_3784_0298.jpg", "viewer_url")</f>
        <v>viewer_url</v>
      </c>
      <c r="U377" t="str">
        <f>HYPERLINK("https://images.diginfra.net/iiif/NL-HaNA_1.01.02/3784/NL-HaNA_1.01.02_3784_0298.jpg/3358,1310,908,2000/full/0/default.jpg", "iiif_url")</f>
        <v>iiif_url</v>
      </c>
      <c r="V377" t="s">
        <v>33</v>
      </c>
      <c r="W377" t="s">
        <v>1641</v>
      </c>
      <c r="X377" t="str">
        <f>HYPERLINK("https://images.diginfra.net/framed3.html?imagesetuuid=cb2f6e2d-502d-41d8-a51c-455c64ed98c9&amp;uri=https://images.diginfra.net/iiif/NL-HaNA_1.01.02/3784/NL-HaNA_1.01.02_3784_0297.jpg", "prev_meeting_viewer_url")</f>
        <v>prev_meeting_viewer_url</v>
      </c>
      <c r="Y377" t="str">
        <f>HYPERLINK("https://images.diginfra.net/iiif/NL-HaNA_1.01.02/3784/NL-HaNA_1.01.02_3784_0297.jpg/1172,1176,1097,2216/full/0/default.jpg", "prev_meeting_iiif_url")</f>
        <v>prev_meeting_iiif_url</v>
      </c>
      <c r="Z377" t="s">
        <v>33</v>
      </c>
      <c r="AA377" t="s">
        <v>1642</v>
      </c>
      <c r="AB377" t="str">
        <f>HYPERLINK("https://images.diginfra.net/framed3.html?imagesetuuid=cb2f6e2d-502d-41d8-a51c-455c64ed98c9&amp;uri=https://images.diginfra.net/iiif/NL-HaNA_1.01.02/3784/NL-HaNA_1.01.02_3784_0299.jpg", "next_meeting_viewer_url")</f>
        <v>next_meeting_viewer_url</v>
      </c>
      <c r="AC377" t="str">
        <f>HYPERLINK("https://images.diginfra.net/iiif/NL-HaNA_1.01.02/3784/NL-HaNA_1.01.02_3784_0299.jpg/348,2864,896,493/full/0/default.jpg", "next_meeting_iiif_url")</f>
        <v>next_meeting_iiif_url</v>
      </c>
    </row>
    <row r="378" spans="1:29" x14ac:dyDescent="0.2">
      <c r="A378" t="s">
        <v>1643</v>
      </c>
      <c r="B378" t="s">
        <v>59</v>
      </c>
      <c r="C378" t="s">
        <v>1644</v>
      </c>
      <c r="D378" t="b">
        <v>1</v>
      </c>
      <c r="E378" t="b">
        <v>1</v>
      </c>
      <c r="I378" t="s">
        <v>1645</v>
      </c>
      <c r="J378">
        <v>3777</v>
      </c>
      <c r="K378">
        <v>319</v>
      </c>
      <c r="L378">
        <v>369</v>
      </c>
      <c r="M378">
        <v>526</v>
      </c>
      <c r="N378">
        <f t="shared" si="7"/>
        <v>638</v>
      </c>
      <c r="O378">
        <v>636</v>
      </c>
      <c r="P378">
        <v>0</v>
      </c>
      <c r="Q378">
        <v>1</v>
      </c>
      <c r="R378">
        <v>0</v>
      </c>
      <c r="S378" t="s">
        <v>33</v>
      </c>
      <c r="T378" t="str">
        <f>HYPERLINK("https://images.diginfra.net/framed3.html?imagesetuuid=d79a5b0f-25ac-4440-9b23-adc237614d07&amp;uri=https://images.diginfra.net/iiif/NL-HaNA_1.01.02/3777/NL-HaNA_1.01.02_3777_0319.jpg", "viewer_url")</f>
        <v>viewer_url</v>
      </c>
      <c r="U378" t="str">
        <f>HYPERLINK("https://images.diginfra.net/iiif/NL-HaNA_1.01.02/3777/NL-HaNA_1.01.02_3777_0319.jpg/369,526,916,2533/full/0/default.jpg", "iiif_url")</f>
        <v>iiif_url</v>
      </c>
      <c r="V378" t="s">
        <v>33</v>
      </c>
      <c r="W378" t="s">
        <v>1646</v>
      </c>
      <c r="X378" t="str">
        <f>HYPERLINK("https://images.diginfra.net/framed3.html?imagesetuuid=d79a5b0f-25ac-4440-9b23-adc237614d07&amp;uri=https://images.diginfra.net/iiif/NL-HaNA_1.01.02/3777/NL-HaNA_1.01.02_3777_0317.jpg", "prev_meeting_viewer_url")</f>
        <v>prev_meeting_viewer_url</v>
      </c>
      <c r="Y378" t="str">
        <f>HYPERLINK("https://images.diginfra.net/iiif/NL-HaNA_1.01.02/3777/NL-HaNA_1.01.02_3777_0317.jpg/1300,425,1103,2988/full/0/default.jpg", "prev_meeting_iiif_url")</f>
        <v>prev_meeting_iiif_url</v>
      </c>
      <c r="Z378" t="s">
        <v>33</v>
      </c>
      <c r="AA378" t="s">
        <v>1647</v>
      </c>
      <c r="AB378" t="str">
        <f>HYPERLINK("https://images.diginfra.net/framed3.html?imagesetuuid=d79a5b0f-25ac-4440-9b23-adc237614d07&amp;uri=https://images.diginfra.net/iiif/NL-HaNA_1.01.02/3777/NL-HaNA_1.01.02_3777_0319.jpg", "next_meeting_viewer_url")</f>
        <v>next_meeting_viewer_url</v>
      </c>
      <c r="AC378" t="str">
        <f>HYPERLINK("https://images.diginfra.net/iiif/NL-HaNA_1.01.02/3777/NL-HaNA_1.01.02_3777_0319.jpg/440,3010,781,318/full/0/default.jpg", "next_meeting_iiif_url")</f>
        <v>next_meeting_iiif_url</v>
      </c>
    </row>
    <row r="379" spans="1:29" x14ac:dyDescent="0.2">
      <c r="A379" t="s">
        <v>1648</v>
      </c>
      <c r="B379" t="s">
        <v>48</v>
      </c>
      <c r="C379" t="s">
        <v>1649</v>
      </c>
      <c r="D379" t="b">
        <v>1</v>
      </c>
      <c r="E379" t="b">
        <v>1</v>
      </c>
      <c r="I379" t="s">
        <v>1650</v>
      </c>
      <c r="J379">
        <v>3801</v>
      </c>
      <c r="K379">
        <v>160</v>
      </c>
      <c r="L379">
        <v>2460</v>
      </c>
      <c r="M379">
        <v>1991</v>
      </c>
      <c r="N379">
        <f t="shared" si="7"/>
        <v>320</v>
      </c>
      <c r="O379">
        <v>319</v>
      </c>
      <c r="P379">
        <v>0</v>
      </c>
      <c r="Q379">
        <v>0</v>
      </c>
      <c r="R379">
        <v>34</v>
      </c>
      <c r="S379" t="s">
        <v>33</v>
      </c>
      <c r="T379" t="str">
        <f>HYPERLINK("https://images.diginfra.net/framed3.html?imagesetuuid=f36c8416-59a8-4b1a-a82a-ef225cbd1971&amp;uri=https://images.diginfra.net/iiif/NL-HaNA_1.01.02/3801/NL-HaNA_1.01.02_3801_0160.jpg", "viewer_url")</f>
        <v>viewer_url</v>
      </c>
      <c r="U379" t="str">
        <f>HYPERLINK("https://images.diginfra.net/iiif/NL-HaNA_1.01.02/3801/NL-HaNA_1.01.02_3801_0160.jpg/2460,1991,888,1314/full/0/default.jpg", "iiif_url")</f>
        <v>iiif_url</v>
      </c>
      <c r="V379" t="s">
        <v>33</v>
      </c>
      <c r="X379" t="str">
        <f>HYPERLINK("https://images.diginfra.net/framed3.html?imagesetuuid=f36c8416-59a8-4b1a-a82a-ef225cbd1971&amp;uri=https://images.diginfra.net/iiif/NL-HaNA_1.01.02/3801/NL-HaNA_1.01.02_3801_0158.jpg", "prev_meeting_viewer_url")</f>
        <v>prev_meeting_viewer_url</v>
      </c>
      <c r="Y379" t="str">
        <f>HYPERLINK("https://images.diginfra.net/iiif/NL-HaNA_1.01.02/3801/NL-HaNA_1.01.02_3801_0158.jpg/3322,351,1091,3085/full/0/default.jpg", "prev_meeting_iiif_url")</f>
        <v>prev_meeting_iiif_url</v>
      </c>
      <c r="Z379" t="s">
        <v>33</v>
      </c>
      <c r="AA379" t="s">
        <v>1651</v>
      </c>
      <c r="AB379" t="str">
        <f>HYPERLINK("https://images.diginfra.net/framed3.html?imagesetuuid=f36c8416-59a8-4b1a-a82a-ef225cbd1971&amp;uri=https://images.diginfra.net/iiif/NL-HaNA_1.01.02/3801/NL-HaNA_1.01.02_3801_0162.jpg", "next_meeting_viewer_url")</f>
        <v>next_meeting_viewer_url</v>
      </c>
      <c r="AC379" t="str">
        <f>HYPERLINK("https://images.diginfra.net/iiif/NL-HaNA_1.01.02/3801/NL-HaNA_1.01.02_3801_0162.jpg/1290,2137,1035,1167/full/0/default.jpg", "next_meeting_iiif_url")</f>
        <v>next_meeting_iiif_url</v>
      </c>
    </row>
    <row r="380" spans="1:29" x14ac:dyDescent="0.2">
      <c r="A380" t="s">
        <v>1652</v>
      </c>
      <c r="B380" t="s">
        <v>37</v>
      </c>
      <c r="C380" t="s">
        <v>1653</v>
      </c>
      <c r="D380" t="b">
        <v>1</v>
      </c>
      <c r="E380" t="b">
        <v>1</v>
      </c>
      <c r="I380" t="s">
        <v>1654</v>
      </c>
      <c r="J380">
        <v>3852</v>
      </c>
      <c r="K380">
        <v>290</v>
      </c>
      <c r="L380">
        <v>464</v>
      </c>
      <c r="M380">
        <v>1942</v>
      </c>
      <c r="N380">
        <f t="shared" si="7"/>
        <v>580</v>
      </c>
      <c r="O380">
        <v>578</v>
      </c>
      <c r="P380">
        <v>0</v>
      </c>
      <c r="Q380">
        <v>2</v>
      </c>
      <c r="R380">
        <v>0</v>
      </c>
      <c r="S380" t="s">
        <v>33</v>
      </c>
      <c r="T380" t="str">
        <f>HYPERLINK("https://images.diginfra.net/framed3.html?imagesetuuid=3b3d915a-84ba-4c76-9942-747a007cc965&amp;uri=https://images.diginfra.net/iiif/NL-HaNA_1.01.02/3852/NL-HaNA_1.01.02_3852_0290.jpg", "viewer_url")</f>
        <v>viewer_url</v>
      </c>
      <c r="U380" t="str">
        <f>HYPERLINK("https://images.diginfra.net/iiif/NL-HaNA_1.01.02/3852/NL-HaNA_1.01.02_3852_0290.jpg/464,1942,839,1371/full/0/default.jpg", "iiif_url")</f>
        <v>iiif_url</v>
      </c>
      <c r="V380" t="s">
        <v>33</v>
      </c>
      <c r="W380" t="s">
        <v>1655</v>
      </c>
      <c r="X380" t="str">
        <f>HYPERLINK("https://images.diginfra.net/framed3.html?imagesetuuid=3b3d915a-84ba-4c76-9942-747a007cc965&amp;uri=https://images.diginfra.net/iiif/NL-HaNA_1.01.02/3852/NL-HaNA_1.01.02_3852_0288.jpg", "prev_meeting_viewer_url")</f>
        <v>prev_meeting_viewer_url</v>
      </c>
      <c r="Y380" t="str">
        <f>HYPERLINK("https://images.diginfra.net/iiif/NL-HaNA_1.01.02/3852/NL-HaNA_1.01.02_3852_0288.jpg/409,2212,1020,1198/full/0/default.jpg", "prev_meeting_iiif_url")</f>
        <v>prev_meeting_iiif_url</v>
      </c>
      <c r="Z380" t="s">
        <v>33</v>
      </c>
      <c r="AA380" t="s">
        <v>1656</v>
      </c>
      <c r="AB380" t="str">
        <f>HYPERLINK("https://images.diginfra.net/framed3.html?imagesetuuid=3b3d915a-84ba-4c76-9942-747a007cc965&amp;uri=https://images.diginfra.net/iiif/NL-HaNA_1.01.02/3852/NL-HaNA_1.01.02_3852_0292.jpg", "next_meeting_viewer_url")</f>
        <v>next_meeting_viewer_url</v>
      </c>
      <c r="AC380" t="str">
        <f>HYPERLINK("https://images.diginfra.net/iiif/NL-HaNA_1.01.02/3852/NL-HaNA_1.01.02_3852_0292.jpg/2382,655,1072,2812/full/0/default.jpg", "next_meeting_iiif_url")</f>
        <v>next_meeting_iiif_url</v>
      </c>
    </row>
    <row r="381" spans="1:29" x14ac:dyDescent="0.2">
      <c r="A381" t="s">
        <v>1657</v>
      </c>
      <c r="B381" t="s">
        <v>79</v>
      </c>
      <c r="C381" t="s">
        <v>1658</v>
      </c>
      <c r="D381" t="b">
        <v>1</v>
      </c>
      <c r="E381" t="b">
        <v>1</v>
      </c>
      <c r="I381" t="s">
        <v>1659</v>
      </c>
      <c r="J381">
        <v>3793</v>
      </c>
      <c r="K381">
        <v>395</v>
      </c>
      <c r="L381">
        <v>389</v>
      </c>
      <c r="M381">
        <v>1165</v>
      </c>
      <c r="N381">
        <f t="shared" si="7"/>
        <v>790</v>
      </c>
      <c r="O381">
        <v>788</v>
      </c>
      <c r="P381">
        <v>0</v>
      </c>
      <c r="Q381">
        <v>1</v>
      </c>
      <c r="R381">
        <v>0</v>
      </c>
      <c r="S381" t="s">
        <v>33</v>
      </c>
      <c r="T381" t="str">
        <f>HYPERLINK("https://images.diginfra.net/framed3.html?imagesetuuid=8305a309-5c79-4c0c-a981-7e350c76be32&amp;uri=https://images.diginfra.net/iiif/NL-HaNA_1.01.02/3793/NL-HaNA_1.01.02_3793_0395.jpg", "viewer_url")</f>
        <v>viewer_url</v>
      </c>
      <c r="U381" t="str">
        <f>HYPERLINK("https://images.diginfra.net/iiif/NL-HaNA_1.01.02/3793/NL-HaNA_1.01.02_3793_0395.jpg/389,1165,908,2171/full/0/default.jpg", "iiif_url")</f>
        <v>iiif_url</v>
      </c>
      <c r="V381" t="s">
        <v>33</v>
      </c>
      <c r="W381" t="s">
        <v>1660</v>
      </c>
      <c r="X381" t="str">
        <f>HYPERLINK("https://images.diginfra.net/framed3.html?imagesetuuid=8305a309-5c79-4c0c-a981-7e350c76be32&amp;uri=https://images.diginfra.net/iiif/NL-HaNA_1.01.02/3793/NL-HaNA_1.01.02_3793_0393.jpg", "prev_meeting_viewer_url")</f>
        <v>prev_meeting_viewer_url</v>
      </c>
      <c r="Y381" t="str">
        <f>HYPERLINK("https://images.diginfra.net/iiif/NL-HaNA_1.01.02/3793/NL-HaNA_1.01.02_3793_0393.jpg/3435,1159,1099,2206/full/0/default.jpg", "prev_meeting_iiif_url")</f>
        <v>prev_meeting_iiif_url</v>
      </c>
      <c r="Z381" t="s">
        <v>33</v>
      </c>
      <c r="AA381" t="s">
        <v>1661</v>
      </c>
      <c r="AB381" t="str">
        <f>HYPERLINK("https://images.diginfra.net/framed3.html?imagesetuuid=8305a309-5c79-4c0c-a981-7e350c76be32&amp;uri=https://images.diginfra.net/iiif/NL-HaNA_1.01.02/3793/NL-HaNA_1.01.02_3793_0395.jpg", "next_meeting_viewer_url")</f>
        <v>next_meeting_viewer_url</v>
      </c>
      <c r="AC381" t="str">
        <f>HYPERLINK("https://images.diginfra.net/iiif/NL-HaNA_1.01.02/3793/NL-HaNA_1.01.02_3793_0395.jpg/2530,2042,1077,1308/full/0/default.jpg", "next_meeting_iiif_url")</f>
        <v>next_meeting_iiif_url</v>
      </c>
    </row>
    <row r="382" spans="1:29" x14ac:dyDescent="0.2">
      <c r="A382" t="s">
        <v>1662</v>
      </c>
      <c r="B382" t="s">
        <v>59</v>
      </c>
      <c r="D382" t="b">
        <v>0</v>
      </c>
      <c r="E382" t="b">
        <v>0</v>
      </c>
      <c r="I382" t="s">
        <v>1663</v>
      </c>
      <c r="J382">
        <v>3838</v>
      </c>
      <c r="K382">
        <v>252</v>
      </c>
      <c r="N382">
        <f t="shared" si="7"/>
        <v>504</v>
      </c>
      <c r="O382">
        <v>503</v>
      </c>
      <c r="P382">
        <v>0</v>
      </c>
      <c r="Q382">
        <v>1</v>
      </c>
      <c r="R382">
        <v>0</v>
      </c>
      <c r="S382" t="s">
        <v>33</v>
      </c>
      <c r="T382" t="str">
        <f>HYPERLINK("https://images.diginfra.net/framed3.html?imagesetuuid=fd366382-5fd2-4059-84bc-fcf4d87b2fc4&amp;uri=https://images.diginfra.net/iiif/NL-HaNA_1.01.02/3838/NL-HaNA_1.01.02_3838_0252.jpg", "viewer_url")</f>
        <v>viewer_url</v>
      </c>
      <c r="U382" t="str">
        <f>HYPERLINK("https://images.diginfra.net/iiif/NL-HaNA_1.01.02/3838/NL-HaNA_1.01.02_3838_0252.jpg/2311,526,1066,2815/full/0/default.jpg", "iiif_url")</f>
        <v>iiif_url</v>
      </c>
      <c r="V382" t="s">
        <v>33</v>
      </c>
      <c r="X382" t="str">
        <f>HYPERLINK("https://images.diginfra.net/framed3.html?imagesetuuid=fd366382-5fd2-4059-84bc-fcf4d87b2fc4&amp;uri=https://images.diginfra.net/iiif/NL-HaNA_1.01.02/3838/NL-HaNA_1.01.02_3838_0245.jpg", "prev_meeting_viewer_url")</f>
        <v>prev_meeting_viewer_url</v>
      </c>
      <c r="Y382" t="str">
        <f>HYPERLINK("https://images.diginfra.net/iiif/NL-HaNA_1.01.02/3838/NL-HaNA_1.01.02_3838_0245.jpg/2306,285,1074,3054/full/0/default.jpg", "prev_meeting_iiif_url")</f>
        <v>prev_meeting_iiif_url</v>
      </c>
      <c r="Z382" t="s">
        <v>33</v>
      </c>
      <c r="AA382" t="s">
        <v>1664</v>
      </c>
      <c r="AB382" t="str">
        <f>HYPERLINK("https://images.diginfra.net/framed3.html?imagesetuuid=fd366382-5fd2-4059-84bc-fcf4d87b2fc4&amp;uri=https://images.diginfra.net/iiif/NL-HaNA_1.01.02/3838/NL-HaNA_1.01.02_3838_0252.jpg", "next_meeting_viewer_url")</f>
        <v>next_meeting_viewer_url</v>
      </c>
      <c r="AC382" t="str">
        <f>HYPERLINK("https://images.diginfra.net/iiif/NL-HaNA_1.01.02/3838/NL-HaNA_1.01.02_3838_0252.jpg/2311,526,1066,2815/full/0/default.jpg", "next_meeting_iiif_url")</f>
        <v>next_meeting_iiif_url</v>
      </c>
    </row>
    <row r="383" spans="1:29" x14ac:dyDescent="0.2">
      <c r="A383" t="s">
        <v>1665</v>
      </c>
      <c r="B383" t="s">
        <v>85</v>
      </c>
      <c r="C383" t="s">
        <v>1666</v>
      </c>
      <c r="D383" t="b">
        <v>1</v>
      </c>
      <c r="E383" t="b">
        <v>1</v>
      </c>
      <c r="I383" t="s">
        <v>1667</v>
      </c>
      <c r="J383">
        <v>3864</v>
      </c>
      <c r="K383">
        <v>300</v>
      </c>
      <c r="L383">
        <v>3362</v>
      </c>
      <c r="M383">
        <v>2731</v>
      </c>
      <c r="N383">
        <f t="shared" si="7"/>
        <v>600</v>
      </c>
      <c r="O383">
        <v>599</v>
      </c>
      <c r="P383">
        <v>1</v>
      </c>
      <c r="Q383">
        <v>1</v>
      </c>
      <c r="R383">
        <v>0</v>
      </c>
      <c r="S383" t="s">
        <v>33</v>
      </c>
      <c r="T383" t="str">
        <f>HYPERLINK("https://images.diginfra.net/framed3.html?imagesetuuid=4b21e7ce-04d7-429b-9edd-e191341917f4&amp;uri=https://images.diginfra.net/iiif/NL-HaNA_1.01.02/3864/NL-HaNA_1.01.02_3864_0300.jpg", "viewer_url")</f>
        <v>viewer_url</v>
      </c>
      <c r="U383" t="str">
        <f>HYPERLINK("https://images.diginfra.net/iiif/NL-HaNA_1.01.02/3864/NL-HaNA_1.01.02_3864_0300.jpg/3362,2731,837,584/full/0/default.jpg", "iiif_url")</f>
        <v>iiif_url</v>
      </c>
      <c r="V383" t="s">
        <v>33</v>
      </c>
      <c r="W383" t="s">
        <v>1668</v>
      </c>
      <c r="X383" t="str">
        <f>HYPERLINK("https://images.diginfra.net/framed3.html?imagesetuuid=4b21e7ce-04d7-429b-9edd-e191341917f4&amp;uri=https://images.diginfra.net/iiif/NL-HaNA_1.01.02/3864/NL-HaNA_1.01.02_3864_0298.jpg", "prev_meeting_viewer_url")</f>
        <v>prev_meeting_viewer_url</v>
      </c>
      <c r="Y383" t="str">
        <f>HYPERLINK("https://images.diginfra.net/iiif/NL-HaNA_1.01.02/3864/NL-HaNA_1.01.02_3864_0298.jpg/1182,1045,1076,2415/full/0/default.jpg", "prev_meeting_iiif_url")</f>
        <v>prev_meeting_iiif_url</v>
      </c>
      <c r="Z383" t="s">
        <v>33</v>
      </c>
      <c r="AA383" t="s">
        <v>1669</v>
      </c>
      <c r="AB383" t="str">
        <f>HYPERLINK("https://images.diginfra.net/framed3.html?imagesetuuid=4b21e7ce-04d7-429b-9edd-e191341917f4&amp;uri=https://images.diginfra.net/iiif/NL-HaNA_1.01.02/3864/NL-HaNA_1.01.02_3864_0304.jpg", "next_meeting_viewer_url")</f>
        <v>next_meeting_viewer_url</v>
      </c>
      <c r="AC383" t="str">
        <f>HYPERLINK("https://images.diginfra.net/iiif/NL-HaNA_1.01.02/3864/NL-HaNA_1.01.02_3864_0304.jpg/2339,422,1024,1464/full/0/default.jpg", "next_meeting_iiif_url")</f>
        <v>next_meeting_iiif_url</v>
      </c>
    </row>
    <row r="384" spans="1:29" x14ac:dyDescent="0.2">
      <c r="A384" t="s">
        <v>1670</v>
      </c>
      <c r="B384" t="s">
        <v>79</v>
      </c>
      <c r="C384" t="s">
        <v>1671</v>
      </c>
      <c r="D384" t="b">
        <v>1</v>
      </c>
      <c r="E384" t="b">
        <v>1</v>
      </c>
      <c r="I384" t="s">
        <v>1672</v>
      </c>
      <c r="J384">
        <v>3844</v>
      </c>
      <c r="K384">
        <v>387</v>
      </c>
      <c r="L384">
        <v>1354</v>
      </c>
      <c r="M384">
        <v>1497</v>
      </c>
      <c r="N384">
        <f t="shared" si="7"/>
        <v>774</v>
      </c>
      <c r="O384">
        <v>772</v>
      </c>
      <c r="P384">
        <v>1</v>
      </c>
      <c r="Q384">
        <v>2</v>
      </c>
      <c r="R384">
        <v>0</v>
      </c>
      <c r="S384" t="s">
        <v>33</v>
      </c>
      <c r="T384" t="str">
        <f>HYPERLINK("https://images.diginfra.net/framed3.html?imagesetuuid=61690246-944a-4d63-9d72-95ab6a0a9306&amp;uri=https://images.diginfra.net/iiif/NL-HaNA_1.01.02/3844/NL-HaNA_1.01.02_3844_0387.jpg", "viewer_url")</f>
        <v>viewer_url</v>
      </c>
      <c r="U384" t="str">
        <f>HYPERLINK("https://images.diginfra.net/iiif/NL-HaNA_1.01.02/3844/NL-HaNA_1.01.02_3844_0387.jpg/1354,1497,898,1756/full/0/default.jpg", "iiif_url")</f>
        <v>iiif_url</v>
      </c>
      <c r="V384" t="s">
        <v>33</v>
      </c>
      <c r="W384" t="s">
        <v>1673</v>
      </c>
      <c r="X384" t="str">
        <f>HYPERLINK("https://images.diginfra.net/framed3.html?imagesetuuid=61690246-944a-4d63-9d72-95ab6a0a9306&amp;uri=https://images.diginfra.net/iiif/NL-HaNA_1.01.02/3844/NL-HaNA_1.01.02_3844_0386.jpg", "prev_meeting_viewer_url")</f>
        <v>prev_meeting_viewer_url</v>
      </c>
      <c r="Y384" t="str">
        <f>HYPERLINK("https://images.diginfra.net/iiif/NL-HaNA_1.01.02/3844/NL-HaNA_1.01.02_3844_0386.jpg/2526,2490,1036,858/full/0/default.jpg", "prev_meeting_iiif_url")</f>
        <v>prev_meeting_iiif_url</v>
      </c>
      <c r="Z384" t="s">
        <v>33</v>
      </c>
      <c r="AA384" t="s">
        <v>1674</v>
      </c>
      <c r="AB384" t="str">
        <f>HYPERLINK("https://images.diginfra.net/framed3.html?imagesetuuid=61690246-944a-4d63-9d72-95ab6a0a9306&amp;uri=https://images.diginfra.net/iiif/NL-HaNA_1.01.02/3844/NL-HaNA_1.01.02_3844_0388.jpg", "next_meeting_viewer_url")</f>
        <v>next_meeting_viewer_url</v>
      </c>
      <c r="AC384" t="str">
        <f>HYPERLINK("https://images.diginfra.net/iiif/NL-HaNA_1.01.02/3844/NL-HaNA_1.01.02_3844_0388.jpg/3390,1181,1080,2218/full/0/default.jpg", "next_meeting_iiif_url")</f>
        <v>next_meeting_iiif_url</v>
      </c>
    </row>
    <row r="385" spans="1:29" x14ac:dyDescent="0.2">
      <c r="A385" t="s">
        <v>1675</v>
      </c>
      <c r="B385" t="s">
        <v>48</v>
      </c>
      <c r="C385" t="s">
        <v>1118</v>
      </c>
      <c r="D385" t="b">
        <v>1</v>
      </c>
      <c r="E385" t="b">
        <v>1</v>
      </c>
      <c r="I385" t="s">
        <v>1676</v>
      </c>
      <c r="J385">
        <v>3806</v>
      </c>
      <c r="K385">
        <v>177</v>
      </c>
      <c r="L385">
        <v>1421</v>
      </c>
      <c r="M385">
        <v>3042</v>
      </c>
      <c r="N385">
        <f t="shared" si="7"/>
        <v>354</v>
      </c>
      <c r="O385">
        <v>352</v>
      </c>
      <c r="P385">
        <v>1</v>
      </c>
      <c r="Q385">
        <v>2</v>
      </c>
      <c r="R385">
        <v>0</v>
      </c>
      <c r="S385" t="s">
        <v>33</v>
      </c>
      <c r="T385" t="str">
        <f>HYPERLINK("https://images.diginfra.net/framed3.html?imagesetuuid=0c00a1f2-d59c-4408-905f-fe388b02204f&amp;uri=https://images.diginfra.net/iiif/NL-HaNA_1.01.02/3806/NL-HaNA_1.01.02_3806_0177.jpg", "viewer_url")</f>
        <v>viewer_url</v>
      </c>
      <c r="U385" t="str">
        <f>HYPERLINK("https://images.diginfra.net/iiif/NL-HaNA_1.01.02/3806/NL-HaNA_1.01.02_3806_0177.jpg/1421,3042,603,223/full/0/default.jpg", "iiif_url")</f>
        <v>iiif_url</v>
      </c>
      <c r="V385" t="s">
        <v>33</v>
      </c>
      <c r="W385" t="s">
        <v>1115</v>
      </c>
      <c r="X385" t="str">
        <f>HYPERLINK("https://images.diginfra.net/framed3.html?imagesetuuid=0c00a1f2-d59c-4408-905f-fe388b02204f&amp;uri=https://images.diginfra.net/iiif/NL-HaNA_1.01.02/3806/NL-HaNA_1.01.02_3806_0176.jpg", "prev_meeting_viewer_url")</f>
        <v>prev_meeting_viewer_url</v>
      </c>
      <c r="Y385" t="str">
        <f>HYPERLINK("https://images.diginfra.net/iiif/NL-HaNA_1.01.02/3806/NL-HaNA_1.01.02_3806_0176.jpg/2419,922,1107,2510/full/0/default.jpg", "prev_meeting_iiif_url")</f>
        <v>prev_meeting_iiif_url</v>
      </c>
      <c r="Z385" t="s">
        <v>33</v>
      </c>
      <c r="AA385" t="s">
        <v>1677</v>
      </c>
      <c r="AB385" t="str">
        <f>HYPERLINK("https://images.diginfra.net/framed3.html?imagesetuuid=0c00a1f2-d59c-4408-905f-fe388b02204f&amp;uri=https://images.diginfra.net/iiif/NL-HaNA_1.01.02/3806/NL-HaNA_1.01.02_3806_0180.jpg", "next_meeting_viewer_url")</f>
        <v>next_meeting_viewer_url</v>
      </c>
      <c r="AC385" t="str">
        <f>HYPERLINK("https://images.diginfra.net/iiif/NL-HaNA_1.01.02/3806/NL-HaNA_1.01.02_3806_0180.jpg/3441,2222,1057,1146/full/0/default.jpg", "next_meeting_iiif_url")</f>
        <v>next_meeting_iiif_url</v>
      </c>
    </row>
    <row r="386" spans="1:29" x14ac:dyDescent="0.2">
      <c r="A386" t="s">
        <v>1678</v>
      </c>
      <c r="B386" t="s">
        <v>48</v>
      </c>
      <c r="C386" t="s">
        <v>1679</v>
      </c>
      <c r="D386" t="b">
        <v>1</v>
      </c>
      <c r="E386" t="b">
        <v>1</v>
      </c>
      <c r="I386" t="s">
        <v>1680</v>
      </c>
      <c r="J386">
        <v>3792</v>
      </c>
      <c r="K386">
        <v>246</v>
      </c>
      <c r="L386">
        <v>353</v>
      </c>
      <c r="M386">
        <v>680</v>
      </c>
      <c r="N386">
        <f t="shared" ref="N386:N449" si="8">K386*2</f>
        <v>492</v>
      </c>
      <c r="O386">
        <v>490</v>
      </c>
      <c r="P386">
        <v>0</v>
      </c>
      <c r="Q386">
        <v>1</v>
      </c>
      <c r="R386">
        <v>0</v>
      </c>
      <c r="S386" t="s">
        <v>33</v>
      </c>
      <c r="T386" t="str">
        <f>HYPERLINK("https://images.diginfra.net/framed3.html?imagesetuuid=507d79a4-2a42-4e84-afa5-a9ccb1e544fe&amp;uri=https://images.diginfra.net/iiif/NL-HaNA_1.01.02/3792/NL-HaNA_1.01.02_3792_0246.jpg", "viewer_url")</f>
        <v>viewer_url</v>
      </c>
      <c r="U386" t="str">
        <f>HYPERLINK("https://images.diginfra.net/iiif/NL-HaNA_1.01.02/3792/NL-HaNA_1.01.02_3792_0246.jpg/353,680,919,2648/full/0/default.jpg", "iiif_url")</f>
        <v>iiif_url</v>
      </c>
      <c r="Z386" t="s">
        <v>33</v>
      </c>
      <c r="AA386" t="s">
        <v>1681</v>
      </c>
      <c r="AB386" t="str">
        <f>HYPERLINK("https://images.diginfra.net/framed3.html?imagesetuuid=507d79a4-2a42-4e84-afa5-a9ccb1e544fe&amp;uri=https://images.diginfra.net/iiif/NL-HaNA_1.01.02/3792/NL-HaNA_1.01.02_3792_0248.jpg", "next_meeting_viewer_url")</f>
        <v>next_meeting_viewer_url</v>
      </c>
      <c r="AC386" t="str">
        <f>HYPERLINK("https://images.diginfra.net/iiif/NL-HaNA_1.01.02/3792/NL-HaNA_1.01.02_3792_0248.jpg/1215,513,1096,2908/full/0/default.jpg", "next_meeting_iiif_url")</f>
        <v>next_meeting_iiif_url</v>
      </c>
    </row>
    <row r="387" spans="1:29" x14ac:dyDescent="0.2">
      <c r="A387" t="s">
        <v>1682</v>
      </c>
      <c r="B387" t="s">
        <v>63</v>
      </c>
      <c r="D387" t="b">
        <v>0</v>
      </c>
      <c r="E387" t="b">
        <v>0</v>
      </c>
      <c r="I387" t="s">
        <v>1683</v>
      </c>
      <c r="J387">
        <v>3804</v>
      </c>
      <c r="K387">
        <v>253</v>
      </c>
      <c r="N387">
        <f t="shared" si="8"/>
        <v>506</v>
      </c>
      <c r="O387">
        <v>505</v>
      </c>
      <c r="P387">
        <v>0</v>
      </c>
      <c r="Q387">
        <v>3</v>
      </c>
      <c r="R387">
        <v>0</v>
      </c>
      <c r="S387" t="s">
        <v>33</v>
      </c>
      <c r="T387" t="str">
        <f>HYPERLINK("https://images.diginfra.net/framed3.html?imagesetuuid=278358e3-85df-45df-a4c3-0043ae8e62fa&amp;uri=https://images.diginfra.net/iiif/NL-HaNA_1.01.02/3804/NL-HaNA_1.01.02_3804_0253.jpg", "viewer_url")</f>
        <v>viewer_url</v>
      </c>
      <c r="U387" t="str">
        <f>HYPERLINK("https://images.diginfra.net/iiif/NL-HaNA_1.01.02/3804/NL-HaNA_1.01.02_3804_0253.jpg/2503,2412,886,971/full/0/default.jpg", "iiif_url")</f>
        <v>iiif_url</v>
      </c>
      <c r="Z387" t="s">
        <v>33</v>
      </c>
      <c r="AA387" t="s">
        <v>1684</v>
      </c>
      <c r="AB387" t="str">
        <f>HYPERLINK("https://images.diginfra.net/framed3.html?imagesetuuid=278358e3-85df-45df-a4c3-0043ae8e62fa&amp;uri=https://images.diginfra.net/iiif/NL-HaNA_1.01.02/3804/NL-HaNA_1.01.02_3804_0253.jpg", "next_meeting_viewer_url")</f>
        <v>next_meeting_viewer_url</v>
      </c>
      <c r="AC387" t="str">
        <f>HYPERLINK("https://images.diginfra.net/iiif/NL-HaNA_1.01.02/3804/NL-HaNA_1.01.02_3804_0253.jpg/2503,2412,886,971/full/0/default.jpg", "next_meeting_iiif_url")</f>
        <v>next_meeting_iiif_url</v>
      </c>
    </row>
    <row r="388" spans="1:29" x14ac:dyDescent="0.2">
      <c r="A388" t="s">
        <v>1685</v>
      </c>
      <c r="B388" t="s">
        <v>85</v>
      </c>
      <c r="C388" t="s">
        <v>1686</v>
      </c>
      <c r="D388" t="b">
        <v>1</v>
      </c>
      <c r="E388" t="b">
        <v>1</v>
      </c>
      <c r="I388" t="s">
        <v>1687</v>
      </c>
      <c r="J388">
        <v>3814</v>
      </c>
      <c r="K388">
        <v>158</v>
      </c>
      <c r="L388">
        <v>3564</v>
      </c>
      <c r="M388">
        <v>2856</v>
      </c>
      <c r="N388">
        <f t="shared" si="8"/>
        <v>316</v>
      </c>
      <c r="O388">
        <v>315</v>
      </c>
      <c r="P388">
        <v>1</v>
      </c>
      <c r="Q388">
        <v>3</v>
      </c>
      <c r="R388">
        <v>0</v>
      </c>
      <c r="S388" t="s">
        <v>33</v>
      </c>
      <c r="T388" t="str">
        <f>HYPERLINK("https://images.diginfra.net/framed3.html?imagesetuuid=a95427fd-d131-4f1b-a2ee-069d038f458a&amp;uri=https://images.diginfra.net/iiif/NL-HaNA_1.01.02/3814/NL-HaNA_1.01.02_3814_0158.jpg", "viewer_url")</f>
        <v>viewer_url</v>
      </c>
      <c r="U388" t="str">
        <f>HYPERLINK("https://images.diginfra.net/iiif/NL-HaNA_1.01.02/3814/NL-HaNA_1.01.02_3814_0158.jpg/3564,2856,858,420/full/0/default.jpg", "iiif_url")</f>
        <v>iiif_url</v>
      </c>
      <c r="V388" t="s">
        <v>33</v>
      </c>
      <c r="W388" t="s">
        <v>1688</v>
      </c>
      <c r="X388" t="str">
        <f>HYPERLINK("https://images.diginfra.net/framed3.html?imagesetuuid=a95427fd-d131-4f1b-a2ee-069d038f458a&amp;uri=https://images.diginfra.net/iiif/NL-HaNA_1.01.02/3814/NL-HaNA_1.01.02_3814_0157.jpg", "prev_meeting_viewer_url")</f>
        <v>prev_meeting_viewer_url</v>
      </c>
      <c r="Y388" t="str">
        <f>HYPERLINK("https://images.diginfra.net/iiif/NL-HaNA_1.01.02/3814/NL-HaNA_1.01.02_3814_0157.jpg/2525,1413,1072,1986/full/0/default.jpg", "prev_meeting_iiif_url")</f>
        <v>prev_meeting_iiif_url</v>
      </c>
      <c r="Z388" t="s">
        <v>33</v>
      </c>
      <c r="AA388" t="s">
        <v>1689</v>
      </c>
      <c r="AB388" t="str">
        <f>HYPERLINK("https://images.diginfra.net/framed3.html?imagesetuuid=a95427fd-d131-4f1b-a2ee-069d038f458a&amp;uri=https://images.diginfra.net/iiif/NL-HaNA_1.01.02/3814/NL-HaNA_1.01.02_3814_0160.jpg", "next_meeting_viewer_url")</f>
        <v>next_meeting_viewer_url</v>
      </c>
      <c r="AC388" t="str">
        <f>HYPERLINK("https://images.diginfra.net/iiif/NL-HaNA_1.01.02/3814/NL-HaNA_1.01.02_3814_0160.jpg/370,657,1112,2673/full/0/default.jpg", "next_meeting_iiif_url")</f>
        <v>next_meeting_iiif_url</v>
      </c>
    </row>
    <row r="389" spans="1:29" x14ac:dyDescent="0.2">
      <c r="A389" t="s">
        <v>1690</v>
      </c>
      <c r="B389" t="s">
        <v>63</v>
      </c>
      <c r="D389" t="b">
        <v>0</v>
      </c>
      <c r="E389" t="b">
        <v>0</v>
      </c>
      <c r="I389" t="s">
        <v>1691</v>
      </c>
      <c r="J389">
        <v>3819</v>
      </c>
      <c r="K389">
        <v>504</v>
      </c>
      <c r="N389">
        <f t="shared" si="8"/>
        <v>1008</v>
      </c>
      <c r="O389">
        <v>1006</v>
      </c>
      <c r="P389">
        <v>0</v>
      </c>
      <c r="Q389">
        <v>1</v>
      </c>
      <c r="R389">
        <v>0</v>
      </c>
      <c r="S389" t="s">
        <v>44</v>
      </c>
      <c r="T389" t="str">
        <f>HYPERLINK("https://images.diginfra.net/framed3.html?imagesetuuid=711b4f86-3dbd-47ca-af9d-52eb1c30bc58&amp;uri=https://images.diginfra.net/iiif/NL-HaNA_1.01.02/3819/NL-HaNA_1.01.02_3819_0504.jpg", "viewer_url")</f>
        <v>viewer_url</v>
      </c>
      <c r="U389" t="str">
        <f>HYPERLINK("https://images.diginfra.net/iiif/NL-HaNA_1.01.02/3819/NL-HaNA_1.01.02_3819_0504.jpg/264,625,1099,2678/full/0/default.jpg", "iiif_url")</f>
        <v>iiif_url</v>
      </c>
      <c r="V389" t="s">
        <v>33</v>
      </c>
      <c r="W389" t="s">
        <v>1692</v>
      </c>
      <c r="X389" t="str">
        <f>HYPERLINK("https://images.diginfra.net/framed3.html?imagesetuuid=711b4f86-3dbd-47ca-af9d-52eb1c30bc58&amp;uri=https://images.diginfra.net/iiif/NL-HaNA_1.01.02/3819/NL-HaNA_1.01.02_3819_0501.jpg", "prev_meeting_viewer_url")</f>
        <v>prev_meeting_viewer_url</v>
      </c>
      <c r="Y389" t="str">
        <f>HYPERLINK("https://images.diginfra.net/iiif/NL-HaNA_1.01.02/3819/NL-HaNA_1.01.02_3819_0501.jpg/3393,1085,1103,2324/full/0/default.jpg", "prev_meeting_iiif_url")</f>
        <v>prev_meeting_iiif_url</v>
      </c>
      <c r="Z389" t="s">
        <v>44</v>
      </c>
      <c r="AA389" t="s">
        <v>1693</v>
      </c>
      <c r="AB389" t="str">
        <f>HYPERLINK("https://images.diginfra.net/framed3.html?imagesetuuid=711b4f86-3dbd-47ca-af9d-52eb1c30bc58&amp;uri=https://images.diginfra.net/iiif/NL-HaNA_1.01.02/3819/NL-HaNA_1.01.02_3819_0504.jpg", "next_meeting_viewer_url")</f>
        <v>next_meeting_viewer_url</v>
      </c>
      <c r="AC389" t="str">
        <f>HYPERLINK("https://images.diginfra.net/iiif/NL-HaNA_1.01.02/3819/NL-HaNA_1.01.02_3819_0504.jpg/264,625,1099,2678/full/0/default.jpg", "next_meeting_iiif_url")</f>
        <v>next_meeting_iiif_url</v>
      </c>
    </row>
    <row r="390" spans="1:29" x14ac:dyDescent="0.2">
      <c r="A390" t="s">
        <v>1694</v>
      </c>
      <c r="B390" t="s">
        <v>63</v>
      </c>
      <c r="D390" t="b">
        <v>0</v>
      </c>
      <c r="E390" t="b">
        <v>0</v>
      </c>
      <c r="I390" t="s">
        <v>1695</v>
      </c>
      <c r="J390">
        <v>3821</v>
      </c>
      <c r="K390">
        <v>404</v>
      </c>
      <c r="N390">
        <f t="shared" si="8"/>
        <v>808</v>
      </c>
      <c r="O390">
        <v>806</v>
      </c>
      <c r="P390">
        <v>0</v>
      </c>
      <c r="Q390">
        <v>1</v>
      </c>
      <c r="R390">
        <v>0</v>
      </c>
      <c r="S390" t="s">
        <v>33</v>
      </c>
      <c r="T390" t="str">
        <f>HYPERLINK("https://images.diginfra.net/framed3.html?imagesetuuid=d2997452-8788-4796-912c-2151f3b459f9&amp;uri=https://images.diginfra.net/iiif/NL-HaNA_1.01.02/3821/NL-HaNA_1.01.02_3821_0404.jpg", "viewer_url")</f>
        <v>viewer_url</v>
      </c>
      <c r="U390" t="str">
        <f>HYPERLINK("https://images.diginfra.net/iiif/NL-HaNA_1.01.02/3821/NL-HaNA_1.01.02_3821_0404.jpg/290,2435,1006,984/full/0/default.jpg", "iiif_url")</f>
        <v>iiif_url</v>
      </c>
      <c r="V390" t="s">
        <v>33</v>
      </c>
      <c r="W390" t="s">
        <v>1696</v>
      </c>
      <c r="X390" t="str">
        <f>HYPERLINK("https://images.diginfra.net/framed3.html?imagesetuuid=d2997452-8788-4796-912c-2151f3b459f9&amp;uri=https://images.diginfra.net/iiif/NL-HaNA_1.01.02/3821/NL-HaNA_1.01.02_3821_0401.jpg", "prev_meeting_viewer_url")</f>
        <v>prev_meeting_viewer_url</v>
      </c>
      <c r="Y390" t="str">
        <f>HYPERLINK("https://images.diginfra.net/iiif/NL-HaNA_1.01.02/3821/NL-HaNA_1.01.02_3821_0401.jpg/1175,569,1103,2851/full/0/default.jpg", "prev_meeting_iiif_url")</f>
        <v>prev_meeting_iiif_url</v>
      </c>
      <c r="Z390" t="s">
        <v>33</v>
      </c>
      <c r="AA390" t="s">
        <v>1697</v>
      </c>
      <c r="AB390" t="str">
        <f>HYPERLINK("https://images.diginfra.net/framed3.html?imagesetuuid=d2997452-8788-4796-912c-2151f3b459f9&amp;uri=https://images.diginfra.net/iiif/NL-HaNA_1.01.02/3821/NL-HaNA_1.01.02_3821_0404.jpg", "next_meeting_viewer_url")</f>
        <v>next_meeting_viewer_url</v>
      </c>
      <c r="AC390" t="str">
        <f>HYPERLINK("https://images.diginfra.net/iiif/NL-HaNA_1.01.02/3821/NL-HaNA_1.01.02_3821_0404.jpg/290,2435,1006,984/full/0/default.jpg", "next_meeting_iiif_url")</f>
        <v>next_meeting_iiif_url</v>
      </c>
    </row>
    <row r="391" spans="1:29" x14ac:dyDescent="0.2">
      <c r="A391" t="s">
        <v>1698</v>
      </c>
      <c r="B391" t="s">
        <v>85</v>
      </c>
      <c r="D391" t="b">
        <v>1</v>
      </c>
      <c r="E391" t="b">
        <v>1</v>
      </c>
      <c r="I391" t="s">
        <v>1699</v>
      </c>
      <c r="J391">
        <v>3787</v>
      </c>
      <c r="K391">
        <v>97</v>
      </c>
      <c r="L391">
        <v>2461</v>
      </c>
      <c r="M391">
        <v>448</v>
      </c>
      <c r="N391">
        <f t="shared" si="8"/>
        <v>194</v>
      </c>
      <c r="O391">
        <v>193</v>
      </c>
      <c r="P391">
        <v>0</v>
      </c>
      <c r="Q391">
        <v>0</v>
      </c>
      <c r="R391">
        <v>0</v>
      </c>
      <c r="S391" t="s">
        <v>33</v>
      </c>
      <c r="T391" t="str">
        <f>HYPERLINK("https://images.diginfra.net/framed3.html?imagesetuuid=db7b00f7-0cd1-4078-9123-41ccf17bd821&amp;uri=https://images.diginfra.net/iiif/NL-HaNA_1.01.02/3787/NL-HaNA_1.01.02_3787_0097.jpg", "viewer_url")</f>
        <v>viewer_url</v>
      </c>
      <c r="U391" t="str">
        <f>HYPERLINK("https://images.diginfra.net/iiif/NL-HaNA_1.01.02/3787/NL-HaNA_1.01.02_3787_0097.jpg/2461,448,920,2938/full/0/default.jpg", "iiif_url")</f>
        <v>iiif_url</v>
      </c>
      <c r="V391" t="s">
        <v>33</v>
      </c>
      <c r="W391" t="s">
        <v>1700</v>
      </c>
      <c r="X391" t="str">
        <f>HYPERLINK("https://images.diginfra.net/framed3.html?imagesetuuid=db7b00f7-0cd1-4078-9123-41ccf17bd821&amp;uri=https://images.diginfra.net/iiif/NL-HaNA_1.01.02/3787/NL-HaNA_1.01.02_3787_0097.jpg", "prev_meeting_viewer_url")</f>
        <v>prev_meeting_viewer_url</v>
      </c>
      <c r="Y391" t="str">
        <f>HYPERLINK("https://images.diginfra.net/iiif/NL-HaNA_1.01.02/3787/NL-HaNA_1.01.02_3787_0097.jpg/262,1638,1101,1676/full/0/default.jpg", "prev_meeting_iiif_url")</f>
        <v>prev_meeting_iiif_url</v>
      </c>
      <c r="Z391" t="s">
        <v>33</v>
      </c>
      <c r="AA391" t="s">
        <v>1701</v>
      </c>
      <c r="AB391" t="str">
        <f>HYPERLINK("https://images.diginfra.net/framed3.html?imagesetuuid=db7b00f7-0cd1-4078-9123-41ccf17bd821&amp;uri=https://images.diginfra.net/iiif/NL-HaNA_1.01.02/3787/NL-HaNA_1.01.02_3787_0098.jpg", "next_meeting_viewer_url")</f>
        <v>next_meeting_viewer_url</v>
      </c>
      <c r="AC391" t="str">
        <f>HYPERLINK("https://images.diginfra.net/iiif/NL-HaNA_1.01.02/3787/NL-HaNA_1.01.02_3787_0098.jpg/2379,1211,1093,2267/full/0/default.jpg", "next_meeting_iiif_url")</f>
        <v>next_meeting_iiif_url</v>
      </c>
    </row>
    <row r="392" spans="1:29" x14ac:dyDescent="0.2">
      <c r="A392" t="s">
        <v>1702</v>
      </c>
      <c r="B392" t="s">
        <v>59</v>
      </c>
      <c r="D392" t="b">
        <v>0</v>
      </c>
      <c r="E392" t="b">
        <v>0</v>
      </c>
      <c r="I392" t="s">
        <v>1703</v>
      </c>
      <c r="J392">
        <v>3821</v>
      </c>
      <c r="K392">
        <v>89</v>
      </c>
      <c r="N392">
        <f t="shared" si="8"/>
        <v>178</v>
      </c>
      <c r="O392">
        <v>176</v>
      </c>
      <c r="P392">
        <v>1</v>
      </c>
      <c r="Q392">
        <v>0</v>
      </c>
      <c r="R392">
        <v>0</v>
      </c>
      <c r="S392" t="s">
        <v>33</v>
      </c>
      <c r="T392" t="str">
        <f>HYPERLINK("https://images.diginfra.net/framed3.html?imagesetuuid=d2997452-8788-4796-912c-2151f3b459f9&amp;uri=https://images.diginfra.net/iiif/NL-HaNA_1.01.02/3821/NL-HaNA_1.01.02_3821_0089.jpg", "viewer_url")</f>
        <v>viewer_url</v>
      </c>
      <c r="U392" t="str">
        <f>HYPERLINK("https://images.diginfra.net/iiif/NL-HaNA_1.01.02/3821/NL-HaNA_1.01.02_3821_0089.jpg/1273,322,1058,2997/full/0/default.jpg", "iiif_url")</f>
        <v>iiif_url</v>
      </c>
      <c r="V392" t="s">
        <v>33</v>
      </c>
      <c r="W392" t="s">
        <v>1704</v>
      </c>
      <c r="X392" t="str">
        <f>HYPERLINK("https://images.diginfra.net/framed3.html?imagesetuuid=d2997452-8788-4796-912c-2151f3b459f9&amp;uri=https://images.diginfra.net/iiif/NL-HaNA_1.01.02/3821/NL-HaNA_1.01.02_3821_0087.jpg", "prev_meeting_viewer_url")</f>
        <v>prev_meeting_viewer_url</v>
      </c>
      <c r="Y392" t="str">
        <f>HYPERLINK("https://images.diginfra.net/iiif/NL-HaNA_1.01.02/3821/NL-HaNA_1.01.02_3821_0087.jpg/2364,878,1062,2581/full/0/default.jpg", "prev_meeting_iiif_url")</f>
        <v>prev_meeting_iiif_url</v>
      </c>
      <c r="Z392" t="s">
        <v>33</v>
      </c>
      <c r="AA392" t="s">
        <v>1239</v>
      </c>
      <c r="AB392" t="str">
        <f>HYPERLINK("https://images.diginfra.net/framed3.html?imagesetuuid=d2997452-8788-4796-912c-2151f3b459f9&amp;uri=https://images.diginfra.net/iiif/NL-HaNA_1.01.02/3821/NL-HaNA_1.01.02_3821_0089.jpg", "next_meeting_viewer_url")</f>
        <v>next_meeting_viewer_url</v>
      </c>
      <c r="AC392" t="str">
        <f>HYPERLINK("https://images.diginfra.net/iiif/NL-HaNA_1.01.02/3821/NL-HaNA_1.01.02_3821_0089.jpg/1273,322,1058,2997/full/0/default.jpg", "next_meeting_iiif_url")</f>
        <v>next_meeting_iiif_url</v>
      </c>
    </row>
    <row r="393" spans="1:29" x14ac:dyDescent="0.2">
      <c r="A393" t="s">
        <v>1705</v>
      </c>
      <c r="B393" t="s">
        <v>85</v>
      </c>
      <c r="C393" t="s">
        <v>1706</v>
      </c>
      <c r="D393" t="b">
        <v>1</v>
      </c>
      <c r="E393" t="b">
        <v>1</v>
      </c>
      <c r="I393" t="s">
        <v>1707</v>
      </c>
      <c r="J393">
        <v>3825</v>
      </c>
      <c r="K393">
        <v>439</v>
      </c>
      <c r="L393">
        <v>3365</v>
      </c>
      <c r="M393">
        <v>1225</v>
      </c>
      <c r="N393">
        <f t="shared" si="8"/>
        <v>878</v>
      </c>
      <c r="O393">
        <v>877</v>
      </c>
      <c r="P393">
        <v>2</v>
      </c>
      <c r="Q393">
        <v>1</v>
      </c>
      <c r="R393">
        <v>2</v>
      </c>
      <c r="S393" t="s">
        <v>33</v>
      </c>
      <c r="T393" t="str">
        <f>HYPERLINK("https://images.diginfra.net/framed3.html?imagesetuuid=3e55157c-ed48-4a0c-b4a9-bb205866d7cd&amp;uri=https://images.diginfra.net/iiif/NL-HaNA_1.01.02/3825/NL-HaNA_1.01.02_3825_0439.jpg", "viewer_url")</f>
        <v>viewer_url</v>
      </c>
      <c r="U393" t="str">
        <f>HYPERLINK("https://images.diginfra.net/iiif/NL-HaNA_1.01.02/3825/NL-HaNA_1.01.02_3825_0439.jpg/3365,1225,907,1985/full/0/default.jpg", "iiif_url")</f>
        <v>iiif_url</v>
      </c>
      <c r="V393" t="s">
        <v>33</v>
      </c>
      <c r="W393" t="s">
        <v>1708</v>
      </c>
      <c r="X393" t="str">
        <f>HYPERLINK("https://images.diginfra.net/framed3.html?imagesetuuid=3e55157c-ed48-4a0c-b4a9-bb205866d7cd&amp;uri=https://images.diginfra.net/iiif/NL-HaNA_1.01.02/3825/NL-HaNA_1.01.02_3825_0438.jpg", "prev_meeting_viewer_url")</f>
        <v>prev_meeting_viewer_url</v>
      </c>
      <c r="Y393" t="str">
        <f>HYPERLINK("https://images.diginfra.net/iiif/NL-HaNA_1.01.02/3825/NL-HaNA_1.01.02_3825_0438.jpg/3272,2429,1097,851/full/0/default.jpg", "prev_meeting_iiif_url")</f>
        <v>prev_meeting_iiif_url</v>
      </c>
      <c r="Z393" t="s">
        <v>33</v>
      </c>
      <c r="AA393" t="s">
        <v>1709</v>
      </c>
      <c r="AB393" t="str">
        <f>HYPERLINK("https://images.diginfra.net/framed3.html?imagesetuuid=3e55157c-ed48-4a0c-b4a9-bb205866d7cd&amp;uri=https://images.diginfra.net/iiif/NL-HaNA_1.01.02/3825/NL-HaNA_1.01.02_3825_0440.jpg", "next_meeting_viewer_url")</f>
        <v>next_meeting_viewer_url</v>
      </c>
      <c r="AC393" t="str">
        <f>HYPERLINK("https://images.diginfra.net/iiif/NL-HaNA_1.01.02/3825/NL-HaNA_1.01.02_3825_0440.jpg/2320,1148,1085,2160/full/0/default.jpg", "next_meeting_iiif_url")</f>
        <v>next_meeting_iiif_url</v>
      </c>
    </row>
    <row r="394" spans="1:29" x14ac:dyDescent="0.2">
      <c r="A394" t="s">
        <v>1710</v>
      </c>
      <c r="B394" t="s">
        <v>85</v>
      </c>
      <c r="C394" t="s">
        <v>1711</v>
      </c>
      <c r="D394" t="b">
        <v>1</v>
      </c>
      <c r="E394" t="b">
        <v>1</v>
      </c>
      <c r="I394" t="s">
        <v>1712</v>
      </c>
      <c r="J394">
        <v>3793</v>
      </c>
      <c r="K394">
        <v>389</v>
      </c>
      <c r="L394">
        <v>2633</v>
      </c>
      <c r="M394">
        <v>3064</v>
      </c>
      <c r="N394">
        <f t="shared" si="8"/>
        <v>778</v>
      </c>
      <c r="O394">
        <v>777</v>
      </c>
      <c r="P394">
        <v>0</v>
      </c>
      <c r="Q394">
        <v>2</v>
      </c>
      <c r="R394">
        <v>0</v>
      </c>
      <c r="S394" t="s">
        <v>33</v>
      </c>
      <c r="T394" t="str">
        <f>HYPERLINK("https://images.diginfra.net/framed3.html?imagesetuuid=8305a309-5c79-4c0c-a981-7e350c76be32&amp;uri=https://images.diginfra.net/iiif/NL-HaNA_1.01.02/3793/NL-HaNA_1.01.02_3793_0389.jpg", "viewer_url")</f>
        <v>viewer_url</v>
      </c>
      <c r="U394" t="str">
        <f>HYPERLINK("https://images.diginfra.net/iiif/NL-HaNA_1.01.02/3793/NL-HaNA_1.01.02_3793_0389.jpg/2633,3064,680,245/full/0/default.jpg", "iiif_url")</f>
        <v>iiif_url</v>
      </c>
      <c r="V394" t="s">
        <v>33</v>
      </c>
      <c r="W394" t="s">
        <v>1713</v>
      </c>
      <c r="X394" t="str">
        <f>HYPERLINK("https://images.diginfra.net/framed3.html?imagesetuuid=8305a309-5c79-4c0c-a981-7e350c76be32&amp;uri=https://images.diginfra.net/iiif/NL-HaNA_1.01.02/3793/NL-HaNA_1.01.02_3793_0389.jpg", "prev_meeting_viewer_url")</f>
        <v>prev_meeting_viewer_url</v>
      </c>
      <c r="Y394" t="str">
        <f>HYPERLINK("https://images.diginfra.net/iiif/NL-HaNA_1.01.02/3793/NL-HaNA_1.01.02_3793_0389.jpg/350,2751,1023,684/full/0/default.jpg", "prev_meeting_iiif_url")</f>
        <v>prev_meeting_iiif_url</v>
      </c>
      <c r="Z394" t="s">
        <v>33</v>
      </c>
      <c r="AA394" t="s">
        <v>1714</v>
      </c>
      <c r="AB394" t="str">
        <f>HYPERLINK("https://images.diginfra.net/framed3.html?imagesetuuid=8305a309-5c79-4c0c-a981-7e350c76be32&amp;uri=https://images.diginfra.net/iiif/NL-HaNA_1.01.02/3793/NL-HaNA_1.01.02_3793_0390.jpg", "next_meeting_viewer_url")</f>
        <v>next_meeting_viewer_url</v>
      </c>
      <c r="AC394" t="str">
        <f>HYPERLINK("https://images.diginfra.net/iiif/NL-HaNA_1.01.02/3793/NL-HaNA_1.01.02_3793_0390.jpg/3417,768,1098,2620/full/0/default.jpg", "next_meeting_iiif_url")</f>
        <v>next_meeting_iiif_url</v>
      </c>
    </row>
    <row r="395" spans="1:29" x14ac:dyDescent="0.2">
      <c r="A395" t="s">
        <v>1715</v>
      </c>
      <c r="B395" t="s">
        <v>63</v>
      </c>
      <c r="D395" t="b">
        <v>0</v>
      </c>
      <c r="E395" t="b">
        <v>0</v>
      </c>
      <c r="I395" t="s">
        <v>1716</v>
      </c>
      <c r="J395">
        <v>3827</v>
      </c>
      <c r="K395">
        <v>466</v>
      </c>
      <c r="N395">
        <f t="shared" si="8"/>
        <v>932</v>
      </c>
      <c r="O395">
        <v>931</v>
      </c>
      <c r="P395">
        <v>0</v>
      </c>
      <c r="Q395">
        <v>0</v>
      </c>
      <c r="R395">
        <v>0</v>
      </c>
      <c r="S395" t="s">
        <v>33</v>
      </c>
      <c r="T395" t="str">
        <f>HYPERLINK("https://images.diginfra.net/framed3.html?imagesetuuid=cb4f4e9c-bdd8-4992-9de8-6ddd9348148f&amp;uri=https://images.diginfra.net/iiif/NL-HaNA_1.01.02/3827/NL-HaNA_1.01.02_3827_0466.jpg", "viewer_url")</f>
        <v>viewer_url</v>
      </c>
      <c r="U395" t="str">
        <f>HYPERLINK("https://images.diginfra.net/iiif/NL-HaNA_1.01.02/3827/NL-HaNA_1.01.02_3827_0466.jpg/2326,216,1086,3081/full/0/default.jpg", "iiif_url")</f>
        <v>iiif_url</v>
      </c>
      <c r="V395" t="s">
        <v>33</v>
      </c>
      <c r="W395" t="s">
        <v>1717</v>
      </c>
      <c r="X395" t="str">
        <f>HYPERLINK("https://images.diginfra.net/framed3.html?imagesetuuid=cb4f4e9c-bdd8-4992-9de8-6ddd9348148f&amp;uri=https://images.diginfra.net/iiif/NL-HaNA_1.01.02/3827/NL-HaNA_1.01.02_3827_0466.jpg", "prev_meeting_viewer_url")</f>
        <v>prev_meeting_viewer_url</v>
      </c>
      <c r="Y395" t="str">
        <f>HYPERLINK("https://images.diginfra.net/iiif/NL-HaNA_1.01.02/3827/NL-HaNA_1.01.02_3827_0466.jpg/274,564,1107,2798/full/0/default.jpg", "prev_meeting_iiif_url")</f>
        <v>prev_meeting_iiif_url</v>
      </c>
      <c r="Z395" t="s">
        <v>33</v>
      </c>
      <c r="AA395" t="s">
        <v>676</v>
      </c>
      <c r="AB395" t="str">
        <f>HYPERLINK("https://images.diginfra.net/framed3.html?imagesetuuid=cb4f4e9c-bdd8-4992-9de8-6ddd9348148f&amp;uri=https://images.diginfra.net/iiif/NL-HaNA_1.01.02/3827/NL-HaNA_1.01.02_3827_0466.jpg", "next_meeting_viewer_url")</f>
        <v>next_meeting_viewer_url</v>
      </c>
      <c r="AC395" t="str">
        <f>HYPERLINK("https://images.diginfra.net/iiif/NL-HaNA_1.01.02/3827/NL-HaNA_1.01.02_3827_0466.jpg/2326,216,1086,3081/full/0/default.jpg", "next_meeting_iiif_url")</f>
        <v>next_meeting_iiif_url</v>
      </c>
    </row>
    <row r="396" spans="1:29" x14ac:dyDescent="0.2">
      <c r="A396" t="s">
        <v>1718</v>
      </c>
      <c r="B396" t="s">
        <v>79</v>
      </c>
      <c r="D396" t="b">
        <v>1</v>
      </c>
      <c r="E396" t="b">
        <v>0</v>
      </c>
      <c r="L396">
        <v>2388</v>
      </c>
      <c r="M396">
        <v>1733</v>
      </c>
      <c r="N396">
        <f t="shared" si="8"/>
        <v>0</v>
      </c>
      <c r="T396" t="str">
        <f>HYPERLINK("None", "viewer_url")</f>
        <v>viewer_url</v>
      </c>
      <c r="U396" t="str">
        <f>HYPERLINK("https://images.diginfra.net/iiif/NL-HaNA_1.01.02/3817/NL-HaNA_1.01.02_3817_0437.jpg/2388,1733,909,1562/full/0/default.jpg", "iiif_url")</f>
        <v>iiif_url</v>
      </c>
    </row>
    <row r="397" spans="1:29" x14ac:dyDescent="0.2">
      <c r="A397" t="s">
        <v>1719</v>
      </c>
      <c r="B397" t="s">
        <v>79</v>
      </c>
      <c r="C397" t="s">
        <v>1708</v>
      </c>
      <c r="D397" t="b">
        <v>1</v>
      </c>
      <c r="E397" t="b">
        <v>1</v>
      </c>
      <c r="I397" t="s">
        <v>1720</v>
      </c>
      <c r="J397">
        <v>3825</v>
      </c>
      <c r="K397">
        <v>438</v>
      </c>
      <c r="L397">
        <v>3433</v>
      </c>
      <c r="M397">
        <v>2480</v>
      </c>
      <c r="N397">
        <f t="shared" si="8"/>
        <v>876</v>
      </c>
      <c r="O397">
        <v>875</v>
      </c>
      <c r="P397">
        <v>0</v>
      </c>
      <c r="Q397">
        <v>0</v>
      </c>
      <c r="R397">
        <v>49</v>
      </c>
      <c r="S397" t="s">
        <v>33</v>
      </c>
      <c r="T397" t="str">
        <f>HYPERLINK("https://images.diginfra.net/framed3.html?imagesetuuid=3e55157c-ed48-4a0c-b4a9-bb205866d7cd&amp;uri=https://images.diginfra.net/iiif/NL-HaNA_1.01.02/3825/NL-HaNA_1.01.02_3825_0438.jpg", "viewer_url")</f>
        <v>viewer_url</v>
      </c>
      <c r="U397" t="str">
        <f>HYPERLINK("https://images.diginfra.net/iiif/NL-HaNA_1.01.02/3825/NL-HaNA_1.01.02_3825_0438.jpg/3433,2480,847,695/full/0/default.jpg", "iiif_url")</f>
        <v>iiif_url</v>
      </c>
      <c r="V397" t="s">
        <v>33</v>
      </c>
      <c r="W397" t="s">
        <v>1721</v>
      </c>
      <c r="X397" t="str">
        <f>HYPERLINK("https://images.diginfra.net/framed3.html?imagesetuuid=3e55157c-ed48-4a0c-b4a9-bb205866d7cd&amp;uri=https://images.diginfra.net/iiif/NL-HaNA_1.01.02/3825/NL-HaNA_1.01.02_3825_0437.jpg", "prev_meeting_viewer_url")</f>
        <v>prev_meeting_viewer_url</v>
      </c>
      <c r="Y397" t="str">
        <f>HYPERLINK("https://images.diginfra.net/iiif/NL-HaNA_1.01.02/3825/NL-HaNA_1.01.02_3825_0437.jpg/3290,881,1087,2255/full/0/default.jpg", "prev_meeting_iiif_url")</f>
        <v>prev_meeting_iiif_url</v>
      </c>
      <c r="Z397" t="s">
        <v>33</v>
      </c>
      <c r="AA397" t="s">
        <v>1706</v>
      </c>
      <c r="AB397" t="str">
        <f>HYPERLINK("https://images.diginfra.net/framed3.html?imagesetuuid=3e55157c-ed48-4a0c-b4a9-bb205866d7cd&amp;uri=https://images.diginfra.net/iiif/NL-HaNA_1.01.02/3825/NL-HaNA_1.01.02_3825_0439.jpg", "next_meeting_viewer_url")</f>
        <v>next_meeting_viewer_url</v>
      </c>
      <c r="AC397" t="str">
        <f>HYPERLINK("https://images.diginfra.net/iiif/NL-HaNA_1.01.02/3825/NL-HaNA_1.01.02_3825_0439.jpg/3278,1133,1111,2173/full/0/default.jpg", "next_meeting_iiif_url")</f>
        <v>next_meeting_iiif_url</v>
      </c>
    </row>
    <row r="398" spans="1:29" x14ac:dyDescent="0.2">
      <c r="A398" t="s">
        <v>1722</v>
      </c>
      <c r="B398" t="s">
        <v>48</v>
      </c>
      <c r="C398" t="s">
        <v>532</v>
      </c>
      <c r="D398" t="b">
        <v>1</v>
      </c>
      <c r="E398" t="b">
        <v>1</v>
      </c>
      <c r="I398" t="s">
        <v>1723</v>
      </c>
      <c r="J398">
        <v>3849</v>
      </c>
      <c r="K398">
        <v>153</v>
      </c>
      <c r="L398">
        <v>3393</v>
      </c>
      <c r="M398">
        <v>785</v>
      </c>
      <c r="N398">
        <f t="shared" si="8"/>
        <v>306</v>
      </c>
      <c r="O398">
        <v>305</v>
      </c>
      <c r="P398">
        <v>1</v>
      </c>
      <c r="Q398">
        <v>1</v>
      </c>
      <c r="R398">
        <v>1</v>
      </c>
      <c r="S398" t="s">
        <v>33</v>
      </c>
      <c r="T398" t="str">
        <f>HYPERLINK("https://images.diginfra.net/framed3.html?imagesetuuid=7d69db40-de83-46fa-8e08-2a3f4300174e&amp;uri=https://images.diginfra.net/iiif/NL-HaNA_1.01.02/3849/NL-HaNA_1.01.02_3849_0153.jpg", "viewer_url")</f>
        <v>viewer_url</v>
      </c>
      <c r="U398" t="str">
        <f>HYPERLINK("https://images.diginfra.net/iiif/NL-HaNA_1.01.02/3849/NL-HaNA_1.01.02_3849_0153.jpg/3393,785,892,2540/full/0/default.jpg", "iiif_url")</f>
        <v>iiif_url</v>
      </c>
      <c r="V398" t="s">
        <v>33</v>
      </c>
      <c r="W398" t="s">
        <v>1724</v>
      </c>
      <c r="X398" t="str">
        <f>HYPERLINK("https://images.diginfra.net/framed3.html?imagesetuuid=7d69db40-de83-46fa-8e08-2a3f4300174e&amp;uri=https://images.diginfra.net/iiif/NL-HaNA_1.01.02/3849/NL-HaNA_1.01.02_3849_0149.jpg", "prev_meeting_viewer_url")</f>
        <v>prev_meeting_viewer_url</v>
      </c>
      <c r="Y398" t="str">
        <f>HYPERLINK("https://images.diginfra.net/iiif/NL-HaNA_1.01.02/3849/NL-HaNA_1.01.02_3849_0149.jpg/295,1440,1080,1954/full/0/default.jpg", "prev_meeting_iiif_url")</f>
        <v>prev_meeting_iiif_url</v>
      </c>
      <c r="Z398" t="s">
        <v>33</v>
      </c>
      <c r="AA398" t="s">
        <v>530</v>
      </c>
      <c r="AB398" t="str">
        <f>HYPERLINK("https://images.diginfra.net/framed3.html?imagesetuuid=7d69db40-de83-46fa-8e08-2a3f4300174e&amp;uri=https://images.diginfra.net/iiif/NL-HaNA_1.01.02/3849/NL-HaNA_1.01.02_3849_0155.jpg", "next_meeting_viewer_url")</f>
        <v>next_meeting_viewer_url</v>
      </c>
      <c r="AC398" t="str">
        <f>HYPERLINK("https://images.diginfra.net/iiif/NL-HaNA_1.01.02/3849/NL-HaNA_1.01.02_3849_0155.jpg/3316,2338,1025,1063/full/0/default.jpg", "next_meeting_iiif_url")</f>
        <v>next_meeting_iiif_url</v>
      </c>
    </row>
    <row r="399" spans="1:29" x14ac:dyDescent="0.2">
      <c r="A399" t="s">
        <v>1725</v>
      </c>
      <c r="B399" t="s">
        <v>48</v>
      </c>
      <c r="C399" t="s">
        <v>1726</v>
      </c>
      <c r="D399" t="b">
        <v>1</v>
      </c>
      <c r="E399" t="b">
        <v>1</v>
      </c>
      <c r="I399" t="s">
        <v>1727</v>
      </c>
      <c r="J399">
        <v>3821</v>
      </c>
      <c r="K399">
        <v>98</v>
      </c>
      <c r="L399">
        <v>2538</v>
      </c>
      <c r="M399">
        <v>2939</v>
      </c>
      <c r="N399">
        <f t="shared" si="8"/>
        <v>196</v>
      </c>
      <c r="O399">
        <v>195</v>
      </c>
      <c r="P399">
        <v>0</v>
      </c>
      <c r="Q399">
        <v>1</v>
      </c>
      <c r="R399">
        <v>0</v>
      </c>
      <c r="S399" t="s">
        <v>33</v>
      </c>
      <c r="T399" t="str">
        <f>HYPERLINK("https://images.diginfra.net/framed3.html?imagesetuuid=d2997452-8788-4796-912c-2151f3b459f9&amp;uri=https://images.diginfra.net/iiif/NL-HaNA_1.01.02/3821/NL-HaNA_1.01.02_3821_0098.jpg", "viewer_url")</f>
        <v>viewer_url</v>
      </c>
      <c r="U399" t="str">
        <f>HYPERLINK("https://images.diginfra.net/iiif/NL-HaNA_1.01.02/3821/NL-HaNA_1.01.02_3821_0098.jpg/2538,2939,643,381/full/0/default.jpg", "iiif_url")</f>
        <v>iiif_url</v>
      </c>
      <c r="V399" t="s">
        <v>33</v>
      </c>
      <c r="W399" t="s">
        <v>1728</v>
      </c>
      <c r="X399" t="str">
        <f>HYPERLINK("https://images.diginfra.net/framed3.html?imagesetuuid=d2997452-8788-4796-912c-2151f3b459f9&amp;uri=https://images.diginfra.net/iiif/NL-HaNA_1.01.02/3821/NL-HaNA_1.01.02_3821_0097.jpg", "prev_meeting_viewer_url")</f>
        <v>prev_meeting_viewer_url</v>
      </c>
      <c r="Y399" t="str">
        <f>HYPERLINK("https://images.diginfra.net/iiif/NL-HaNA_1.01.02/3821/NL-HaNA_1.01.02_3821_0097.jpg/3282,701,1069,2662/full/0/default.jpg", "prev_meeting_iiif_url")</f>
        <v>prev_meeting_iiif_url</v>
      </c>
      <c r="Z399" t="s">
        <v>33</v>
      </c>
      <c r="AA399" t="s">
        <v>1729</v>
      </c>
      <c r="AB399" t="str">
        <f>HYPERLINK("https://images.diginfra.net/framed3.html?imagesetuuid=d2997452-8788-4796-912c-2151f3b459f9&amp;uri=https://images.diginfra.net/iiif/NL-HaNA_1.01.02/3821/NL-HaNA_1.01.02_3821_0100.jpg", "next_meeting_viewer_url")</f>
        <v>next_meeting_viewer_url</v>
      </c>
      <c r="AC399" t="str">
        <f>HYPERLINK("https://images.diginfra.net/iiif/NL-HaNA_1.01.02/3821/NL-HaNA_1.01.02_3821_0100.jpg/2313,302,1063,3064/full/0/default.jpg", "next_meeting_iiif_url")</f>
        <v>next_meeting_iiif_url</v>
      </c>
    </row>
    <row r="400" spans="1:29" x14ac:dyDescent="0.2">
      <c r="A400" t="s">
        <v>1730</v>
      </c>
      <c r="B400" t="s">
        <v>85</v>
      </c>
      <c r="C400" t="s">
        <v>1731</v>
      </c>
      <c r="D400" t="b">
        <v>1</v>
      </c>
      <c r="E400" t="b">
        <v>1</v>
      </c>
      <c r="I400" t="s">
        <v>1732</v>
      </c>
      <c r="J400">
        <v>3834</v>
      </c>
      <c r="K400">
        <v>490</v>
      </c>
      <c r="L400">
        <v>2543</v>
      </c>
      <c r="M400">
        <v>1123</v>
      </c>
      <c r="N400">
        <f t="shared" si="8"/>
        <v>980</v>
      </c>
      <c r="O400">
        <v>979</v>
      </c>
      <c r="P400">
        <v>0</v>
      </c>
      <c r="Q400">
        <v>1</v>
      </c>
      <c r="R400">
        <v>0</v>
      </c>
      <c r="S400" t="s">
        <v>33</v>
      </c>
      <c r="T400" t="str">
        <f>HYPERLINK("https://images.diginfra.net/framed3.html?imagesetuuid=bf11cd8e-e3f4-444c-9caa-dcdfd20137d7&amp;uri=https://images.diginfra.net/iiif/NL-HaNA_1.01.02/3834/NL-HaNA_1.01.02_3834_0490.jpg", "viewer_url")</f>
        <v>viewer_url</v>
      </c>
      <c r="U400" t="str">
        <f>HYPERLINK("https://images.diginfra.net/iiif/NL-HaNA_1.01.02/3834/NL-HaNA_1.01.02_3834_0490.jpg/2543,1123,1835,2181/full/0/default.jpg", "iiif_url")</f>
        <v>iiif_url</v>
      </c>
      <c r="Z400" t="s">
        <v>33</v>
      </c>
      <c r="AA400" t="s">
        <v>1733</v>
      </c>
      <c r="AB400" t="str">
        <f>HYPERLINK("https://images.diginfra.net/framed3.html?imagesetuuid=bf11cd8e-e3f4-444c-9caa-dcdfd20137d7&amp;uri=https://images.diginfra.net/iiif/NL-HaNA_1.01.02/3834/NL-HaNA_1.01.02_3834_0491.jpg", "next_meeting_viewer_url")</f>
        <v>next_meeting_viewer_url</v>
      </c>
      <c r="AC400" t="str">
        <f>HYPERLINK("https://images.diginfra.net/iiif/NL-HaNA_1.01.02/3834/NL-HaNA_1.01.02_3834_0491.jpg/343,2825,920,546/full/0/default.jpg", "next_meeting_iiif_url")</f>
        <v>next_meeting_iiif_url</v>
      </c>
    </row>
    <row r="401" spans="1:29" x14ac:dyDescent="0.2">
      <c r="A401" t="s">
        <v>1734</v>
      </c>
      <c r="B401" t="s">
        <v>79</v>
      </c>
      <c r="C401" t="s">
        <v>1735</v>
      </c>
      <c r="D401" t="b">
        <v>1</v>
      </c>
      <c r="E401" t="b">
        <v>1</v>
      </c>
      <c r="I401" t="s">
        <v>1736</v>
      </c>
      <c r="J401">
        <v>3817</v>
      </c>
      <c r="K401">
        <v>240</v>
      </c>
      <c r="L401">
        <v>332</v>
      </c>
      <c r="M401">
        <v>2301</v>
      </c>
      <c r="N401">
        <f t="shared" si="8"/>
        <v>480</v>
      </c>
      <c r="O401">
        <v>478</v>
      </c>
      <c r="P401">
        <v>0</v>
      </c>
      <c r="Q401">
        <v>0</v>
      </c>
      <c r="R401">
        <v>43</v>
      </c>
      <c r="S401" t="s">
        <v>44</v>
      </c>
      <c r="T401" t="str">
        <f>HYPERLINK("https://images.diginfra.net/framed3.html?imagesetuuid=c13c7ed6-75ba-4433-9b44-0db683995fb3&amp;uri=https://images.diginfra.net/iiif/NL-HaNA_1.01.02/3817/NL-HaNA_1.01.02_3817_0240.jpg", "viewer_url")</f>
        <v>viewer_url</v>
      </c>
      <c r="U401" t="str">
        <f>HYPERLINK("https://images.diginfra.net/iiif/NL-HaNA_1.01.02/3817/NL-HaNA_1.01.02_3817_0240.jpg/332,2301,869,988/full/0/default.jpg", "iiif_url")</f>
        <v>iiif_url</v>
      </c>
      <c r="V401" t="s">
        <v>33</v>
      </c>
      <c r="W401" t="s">
        <v>1737</v>
      </c>
      <c r="X401" t="str">
        <f>HYPERLINK("https://images.diginfra.net/framed3.html?imagesetuuid=c13c7ed6-75ba-4433-9b44-0db683995fb3&amp;uri=https://images.diginfra.net/iiif/NL-HaNA_1.01.02/3817/NL-HaNA_1.01.02_3817_0237.jpg", "prev_meeting_viewer_url")</f>
        <v>prev_meeting_viewer_url</v>
      </c>
      <c r="Y401" t="str">
        <f>HYPERLINK("https://images.diginfra.net/iiif/NL-HaNA_1.01.02/3817/NL-HaNA_1.01.02_3817_0237.jpg/2352,2940,1073,519/full/0/default.jpg", "prev_meeting_iiif_url")</f>
        <v>prev_meeting_iiif_url</v>
      </c>
    </row>
    <row r="402" spans="1:29" x14ac:dyDescent="0.2">
      <c r="A402" t="s">
        <v>1738</v>
      </c>
      <c r="B402" t="s">
        <v>48</v>
      </c>
      <c r="C402" t="s">
        <v>1739</v>
      </c>
      <c r="D402" t="b">
        <v>1</v>
      </c>
      <c r="E402" t="b">
        <v>1</v>
      </c>
      <c r="I402" t="s">
        <v>1740</v>
      </c>
      <c r="J402">
        <v>3837</v>
      </c>
      <c r="K402">
        <v>33</v>
      </c>
      <c r="L402">
        <v>403</v>
      </c>
      <c r="M402">
        <v>543</v>
      </c>
      <c r="N402">
        <f t="shared" si="8"/>
        <v>66</v>
      </c>
      <c r="O402">
        <v>64</v>
      </c>
      <c r="P402">
        <v>0</v>
      </c>
      <c r="Q402">
        <v>1</v>
      </c>
      <c r="R402">
        <v>0</v>
      </c>
      <c r="S402" t="s">
        <v>33</v>
      </c>
      <c r="T402" t="str">
        <f>HYPERLINK("https://images.diginfra.net/framed3.html?imagesetuuid=c65c9f3a-3528-47a0-b883-a61cfb90d089&amp;uri=https://images.diginfra.net/iiif/NL-HaNA_1.01.02/3837/NL-HaNA_1.01.02_3837_0033.jpg", "viewer_url")</f>
        <v>viewer_url</v>
      </c>
      <c r="U402" t="str">
        <f>HYPERLINK("https://images.diginfra.net/iiif/NL-HaNA_1.01.02/3837/NL-HaNA_1.01.02_3837_0033.jpg/403,543,889,2830/full/0/default.jpg", "iiif_url")</f>
        <v>iiif_url</v>
      </c>
      <c r="V402" t="s">
        <v>33</v>
      </c>
      <c r="W402" t="s">
        <v>1551</v>
      </c>
      <c r="X402" t="str">
        <f>HYPERLINK("https://images.diginfra.net/framed3.html?imagesetuuid=c65c9f3a-3528-47a0-b883-a61cfb90d089&amp;uri=https://images.diginfra.net/iiif/NL-HaNA_1.01.02/3837/NL-HaNA_1.01.02_3837_0030.jpg", "prev_meeting_viewer_url")</f>
        <v>prev_meeting_viewer_url</v>
      </c>
      <c r="Y402" t="str">
        <f>HYPERLINK("https://images.diginfra.net/iiif/NL-HaNA_1.01.02/3837/NL-HaNA_1.01.02_3837_0030.jpg/3344,1047,1072,2326/full/0/default.jpg", "prev_meeting_iiif_url")</f>
        <v>prev_meeting_iiif_url</v>
      </c>
      <c r="Z402" t="s">
        <v>33</v>
      </c>
      <c r="AA402" t="s">
        <v>1741</v>
      </c>
      <c r="AB402" t="str">
        <f>HYPERLINK("https://images.diginfra.net/framed3.html?imagesetuuid=c65c9f3a-3528-47a0-b883-a61cfb90d089&amp;uri=https://images.diginfra.net/iiif/NL-HaNA_1.01.02/3837/NL-HaNA_1.01.02_3837_0034.jpg", "next_meeting_viewer_url")</f>
        <v>next_meeting_viewer_url</v>
      </c>
      <c r="AC402" t="str">
        <f>HYPERLINK("https://images.diginfra.net/iiif/NL-HaNA_1.01.02/3837/NL-HaNA_1.01.02_3837_0034.jpg/1237,1643,1080,1793/full/0/default.jpg", "next_meeting_iiif_url")</f>
        <v>next_meeting_iiif_url</v>
      </c>
    </row>
    <row r="403" spans="1:29" x14ac:dyDescent="0.2">
      <c r="A403" t="s">
        <v>1742</v>
      </c>
      <c r="B403" t="s">
        <v>30</v>
      </c>
      <c r="C403" t="s">
        <v>295</v>
      </c>
      <c r="D403" t="b">
        <v>1</v>
      </c>
      <c r="E403" t="b">
        <v>1</v>
      </c>
      <c r="I403" t="s">
        <v>1743</v>
      </c>
      <c r="J403">
        <v>3856</v>
      </c>
      <c r="K403">
        <v>169</v>
      </c>
      <c r="L403">
        <v>2456</v>
      </c>
      <c r="M403">
        <v>1770</v>
      </c>
      <c r="N403">
        <f t="shared" si="8"/>
        <v>338</v>
      </c>
      <c r="O403">
        <v>337</v>
      </c>
      <c r="P403">
        <v>0</v>
      </c>
      <c r="Q403">
        <v>3</v>
      </c>
      <c r="R403">
        <v>0</v>
      </c>
      <c r="S403" t="s">
        <v>33</v>
      </c>
      <c r="T403" t="str">
        <f>HYPERLINK("https://images.diginfra.net/framed3.html?imagesetuuid=eefad0ef-c5b6-4672-8a4e-c123198eddbf&amp;uri=https://images.diginfra.net/iiif/NL-HaNA_1.01.02/3856/NL-HaNA_1.01.02_3856_0169.jpg", "viewer_url")</f>
        <v>viewer_url</v>
      </c>
      <c r="U403" t="str">
        <f>HYPERLINK("https://images.diginfra.net/iiif/NL-HaNA_1.01.02/3856/NL-HaNA_1.01.02_3856_0169.jpg/2456,1770,888,1607/full/0/default.jpg", "iiif_url")</f>
        <v>iiif_url</v>
      </c>
      <c r="V403" t="s">
        <v>33</v>
      </c>
      <c r="W403" t="s">
        <v>292</v>
      </c>
      <c r="X403" t="str">
        <f>HYPERLINK("https://images.diginfra.net/framed3.html?imagesetuuid=eefad0ef-c5b6-4672-8a4e-c123198eddbf&amp;uri=https://images.diginfra.net/iiif/NL-HaNA_1.01.02/3856/NL-HaNA_1.01.02_3856_0167.jpg", "prev_meeting_viewer_url")</f>
        <v>prev_meeting_viewer_url</v>
      </c>
      <c r="Y403" t="str">
        <f>HYPERLINK("https://images.diginfra.net/iiif/NL-HaNA_1.01.02/3856/NL-HaNA_1.01.02_3856_0167.jpg/2489,2821,834,527/full/0/default.jpg", "prev_meeting_iiif_url")</f>
        <v>prev_meeting_iiif_url</v>
      </c>
      <c r="Z403" t="s">
        <v>33</v>
      </c>
      <c r="AA403" t="s">
        <v>1744</v>
      </c>
      <c r="AB403" t="str">
        <f>HYPERLINK("https://images.diginfra.net/framed3.html?imagesetuuid=eefad0ef-c5b6-4672-8a4e-c123198eddbf&amp;uri=https://images.diginfra.net/iiif/NL-HaNA_1.01.02/3856/NL-HaNA_1.01.02_3856_0169.jpg", "next_meeting_viewer_url")</f>
        <v>next_meeting_viewer_url</v>
      </c>
      <c r="AC403" t="str">
        <f>HYPERLINK("https://images.diginfra.net/iiif/NL-HaNA_1.01.02/3856/NL-HaNA_1.01.02_3856_0169.jpg/3343,2786,1016,696/full/0/default.jpg", "next_meeting_iiif_url")</f>
        <v>next_meeting_iiif_url</v>
      </c>
    </row>
    <row r="404" spans="1:29" x14ac:dyDescent="0.2">
      <c r="A404" t="s">
        <v>1745</v>
      </c>
      <c r="B404" t="s">
        <v>85</v>
      </c>
      <c r="C404" t="s">
        <v>1746</v>
      </c>
      <c r="D404" t="b">
        <v>1</v>
      </c>
      <c r="E404" t="b">
        <v>1</v>
      </c>
      <c r="I404" t="s">
        <v>1747</v>
      </c>
      <c r="J404">
        <v>3792</v>
      </c>
      <c r="K404">
        <v>282</v>
      </c>
      <c r="L404">
        <v>3508</v>
      </c>
      <c r="M404">
        <v>1010</v>
      </c>
      <c r="N404">
        <f t="shared" si="8"/>
        <v>564</v>
      </c>
      <c r="O404">
        <v>563</v>
      </c>
      <c r="P404">
        <v>1</v>
      </c>
      <c r="Q404">
        <v>1</v>
      </c>
      <c r="R404">
        <v>0</v>
      </c>
      <c r="S404" t="s">
        <v>33</v>
      </c>
      <c r="T404" t="str">
        <f>HYPERLINK("https://images.diginfra.net/framed3.html?imagesetuuid=507d79a4-2a42-4e84-afa5-a9ccb1e544fe&amp;uri=https://images.diginfra.net/iiif/NL-HaNA_1.01.02/3792/NL-HaNA_1.01.02_3792_0282.jpg", "viewer_url")</f>
        <v>viewer_url</v>
      </c>
      <c r="U404" t="str">
        <f>HYPERLINK("https://images.diginfra.net/iiif/NL-HaNA_1.01.02/3792/NL-HaNA_1.01.02_3792_0282.jpg/3508,1010,906,2303/full/0/default.jpg", "iiif_url")</f>
        <v>iiif_url</v>
      </c>
      <c r="V404" t="s">
        <v>33</v>
      </c>
      <c r="W404" t="s">
        <v>1748</v>
      </c>
      <c r="X404" t="str">
        <f>HYPERLINK("https://images.diginfra.net/framed3.html?imagesetuuid=507d79a4-2a42-4e84-afa5-a9ccb1e544fe&amp;uri=https://images.diginfra.net/iiif/NL-HaNA_1.01.02/3792/NL-HaNA_1.01.02_3792_0282.jpg", "prev_meeting_viewer_url")</f>
        <v>prev_meeting_viewer_url</v>
      </c>
      <c r="Y404" t="str">
        <f>HYPERLINK("https://images.diginfra.net/iiif/NL-HaNA_1.01.02/3792/NL-HaNA_1.01.02_3792_0282.jpg/2475,1385,1098,2036/full/0/default.jpg", "prev_meeting_iiif_url")</f>
        <v>prev_meeting_iiif_url</v>
      </c>
      <c r="Z404" t="s">
        <v>33</v>
      </c>
      <c r="AA404" t="s">
        <v>1749</v>
      </c>
      <c r="AB404" t="str">
        <f>HYPERLINK("https://images.diginfra.net/framed3.html?imagesetuuid=507d79a4-2a42-4e84-afa5-a9ccb1e544fe&amp;uri=https://images.diginfra.net/iiif/NL-HaNA_1.01.02/3792/NL-HaNA_1.01.02_3792_0283.jpg", "next_meeting_viewer_url")</f>
        <v>next_meeting_viewer_url</v>
      </c>
      <c r="AC404" t="str">
        <f>HYPERLINK("https://images.diginfra.net/iiif/NL-HaNA_1.01.02/3792/NL-HaNA_1.01.02_3792_0283.jpg/2541,2900,1030,559/full/0/default.jpg", "next_meeting_iiif_url")</f>
        <v>next_meeting_iiif_url</v>
      </c>
    </row>
    <row r="405" spans="1:29" x14ac:dyDescent="0.2">
      <c r="A405" t="s">
        <v>1750</v>
      </c>
      <c r="B405" t="s">
        <v>79</v>
      </c>
      <c r="C405" t="s">
        <v>1452</v>
      </c>
      <c r="D405" t="b">
        <v>1</v>
      </c>
      <c r="E405" t="b">
        <v>1</v>
      </c>
      <c r="I405" t="s">
        <v>1751</v>
      </c>
      <c r="J405">
        <v>3806</v>
      </c>
      <c r="K405">
        <v>106</v>
      </c>
      <c r="L405">
        <v>3563</v>
      </c>
      <c r="M405">
        <v>2880</v>
      </c>
      <c r="N405">
        <f t="shared" si="8"/>
        <v>212</v>
      </c>
      <c r="O405">
        <v>211</v>
      </c>
      <c r="P405">
        <v>1</v>
      </c>
      <c r="Q405">
        <v>2</v>
      </c>
      <c r="R405">
        <v>0</v>
      </c>
      <c r="S405" t="s">
        <v>33</v>
      </c>
      <c r="T405" t="str">
        <f>HYPERLINK("https://images.diginfra.net/framed3.html?imagesetuuid=0c00a1f2-d59c-4408-905f-fe388b02204f&amp;uri=https://images.diginfra.net/iiif/NL-HaNA_1.01.02/3806/NL-HaNA_1.01.02_3806_0106.jpg", "viewer_url")</f>
        <v>viewer_url</v>
      </c>
      <c r="U405" t="str">
        <f>HYPERLINK("https://images.diginfra.net/iiif/NL-HaNA_1.01.02/3806/NL-HaNA_1.01.02_3806_0106.jpg/3563,2880,854,448/full/0/default.jpg", "iiif_url")</f>
        <v>iiif_url</v>
      </c>
      <c r="V405" t="s">
        <v>33</v>
      </c>
      <c r="W405" t="s">
        <v>1752</v>
      </c>
      <c r="X405" t="str">
        <f>HYPERLINK("https://images.diginfra.net/framed3.html?imagesetuuid=0c00a1f2-d59c-4408-905f-fe388b02204f&amp;uri=https://images.diginfra.net/iiif/NL-HaNA_1.01.02/3806/NL-HaNA_1.01.02_3806_0106.jpg", "prev_meeting_viewer_url")</f>
        <v>prev_meeting_viewer_url</v>
      </c>
      <c r="Y405" t="str">
        <f>HYPERLINK("https://images.diginfra.net/iiif/NL-HaNA_1.01.02/3806/NL-HaNA_1.01.02_3806_0106.jpg/2468,802,1099,2630/full/0/default.jpg", "prev_meeting_iiif_url")</f>
        <v>prev_meeting_iiif_url</v>
      </c>
      <c r="Z405" t="s">
        <v>33</v>
      </c>
      <c r="AA405" t="s">
        <v>1753</v>
      </c>
      <c r="AB405" t="str">
        <f>HYPERLINK("https://images.diginfra.net/framed3.html?imagesetuuid=0c00a1f2-d59c-4408-905f-fe388b02204f&amp;uri=https://images.diginfra.net/iiif/NL-HaNA_1.01.02/3806/NL-HaNA_1.01.02_3806_0107.jpg", "next_meeting_viewer_url")</f>
        <v>next_meeting_viewer_url</v>
      </c>
      <c r="AC405" t="str">
        <f>HYPERLINK("https://images.diginfra.net/iiif/NL-HaNA_1.01.02/3806/NL-HaNA_1.01.02_3806_0107.jpg/3443,1122,1099,2295/full/0/default.jpg", "next_meeting_iiif_url")</f>
        <v>next_meeting_iiif_url</v>
      </c>
    </row>
    <row r="406" spans="1:29" x14ac:dyDescent="0.2">
      <c r="A406" t="s">
        <v>1754</v>
      </c>
      <c r="B406" t="s">
        <v>37</v>
      </c>
      <c r="C406" t="s">
        <v>1755</v>
      </c>
      <c r="D406" t="b">
        <v>1</v>
      </c>
      <c r="E406" t="b">
        <v>1</v>
      </c>
      <c r="I406" t="s">
        <v>1756</v>
      </c>
      <c r="J406">
        <v>3841</v>
      </c>
      <c r="K406">
        <v>254</v>
      </c>
      <c r="L406">
        <v>2400</v>
      </c>
      <c r="M406">
        <v>1902</v>
      </c>
      <c r="N406">
        <f t="shared" si="8"/>
        <v>508</v>
      </c>
      <c r="O406">
        <v>507</v>
      </c>
      <c r="P406">
        <v>0</v>
      </c>
      <c r="Q406">
        <v>0</v>
      </c>
      <c r="R406">
        <v>0</v>
      </c>
      <c r="S406" t="s">
        <v>33</v>
      </c>
      <c r="T406" t="str">
        <f>HYPERLINK("https://images.diginfra.net/framed3.html?imagesetuuid=47881e95-07b9-4c17-8cf4-b55a034c8db2&amp;uri=https://images.diginfra.net/iiif/NL-HaNA_1.01.02/3841/NL-HaNA_1.01.02_3841_0254.jpg", "viewer_url")</f>
        <v>viewer_url</v>
      </c>
      <c r="U406" t="str">
        <f>HYPERLINK("https://images.diginfra.net/iiif/NL-HaNA_1.01.02/3841/NL-HaNA_1.01.02_3841_0254.jpg/2400,1902,884,1512/full/0/default.jpg", "iiif_url")</f>
        <v>iiif_url</v>
      </c>
      <c r="V406" t="s">
        <v>33</v>
      </c>
      <c r="W406" t="s">
        <v>1757</v>
      </c>
      <c r="X406" t="str">
        <f>HYPERLINK("https://images.diginfra.net/framed3.html?imagesetuuid=47881e95-07b9-4c17-8cf4-b55a034c8db2&amp;uri=https://images.diginfra.net/iiif/NL-HaNA_1.01.02/3841/NL-HaNA_1.01.02_3841_0251.jpg", "prev_meeting_viewer_url")</f>
        <v>prev_meeting_viewer_url</v>
      </c>
      <c r="Y406" t="str">
        <f>HYPERLINK("https://images.diginfra.net/iiif/NL-HaNA_1.01.02/3841/NL-HaNA_1.01.02_3841_0251.jpg/233,1309,1072,2113/full/0/default.jpg", "prev_meeting_iiif_url")</f>
        <v>prev_meeting_iiif_url</v>
      </c>
      <c r="Z406" t="s">
        <v>33</v>
      </c>
      <c r="AA406" t="s">
        <v>1218</v>
      </c>
      <c r="AB406" t="str">
        <f>HYPERLINK("https://images.diginfra.net/framed3.html?imagesetuuid=47881e95-07b9-4c17-8cf4-b55a034c8db2&amp;uri=https://images.diginfra.net/iiif/NL-HaNA_1.01.02/3841/NL-HaNA_1.01.02_3841_0257.jpg", "next_meeting_viewer_url")</f>
        <v>next_meeting_viewer_url</v>
      </c>
      <c r="AC406" t="str">
        <f>HYPERLINK("https://images.diginfra.net/iiif/NL-HaNA_1.01.02/3841/NL-HaNA_1.01.02_3841_0257.jpg/2447,3031,861,320/full/0/default.jpg", "next_meeting_iiif_url")</f>
        <v>next_meeting_iiif_url</v>
      </c>
    </row>
    <row r="407" spans="1:29" x14ac:dyDescent="0.2">
      <c r="A407" t="s">
        <v>1758</v>
      </c>
      <c r="B407" t="s">
        <v>63</v>
      </c>
      <c r="D407" t="b">
        <v>0</v>
      </c>
      <c r="E407" t="b">
        <v>0</v>
      </c>
      <c r="I407" t="s">
        <v>1759</v>
      </c>
      <c r="J407">
        <v>3783</v>
      </c>
      <c r="K407">
        <v>433</v>
      </c>
      <c r="N407">
        <f t="shared" si="8"/>
        <v>866</v>
      </c>
      <c r="O407">
        <v>864</v>
      </c>
      <c r="P407">
        <v>0</v>
      </c>
      <c r="Q407">
        <v>4</v>
      </c>
      <c r="R407">
        <v>0</v>
      </c>
      <c r="S407" t="s">
        <v>33</v>
      </c>
      <c r="T407" t="str">
        <f>HYPERLINK("https://images.diginfra.net/framed3.html?imagesetuuid=67533019-4ca0-4b08-b87e-fd5590e7a077&amp;uri=https://images.diginfra.net/iiif/NL-HaNA_1.01.02/3783/NL-HaNA_1.01.02_3783_0433.jpg", "viewer_url")</f>
        <v>viewer_url</v>
      </c>
      <c r="U407" t="str">
        <f>HYPERLINK("https://images.diginfra.net/iiif/NL-HaNA_1.01.02/3783/NL-HaNA_1.01.02_3783_0433.jpg/281,1987,1099,1384/full/0/default.jpg", "iiif_url")</f>
        <v>iiif_url</v>
      </c>
      <c r="V407" t="s">
        <v>33</v>
      </c>
      <c r="W407" t="s">
        <v>1760</v>
      </c>
      <c r="X407" t="str">
        <f>HYPERLINK("https://images.diginfra.net/framed3.html?imagesetuuid=67533019-4ca0-4b08-b87e-fd5590e7a077&amp;uri=https://images.diginfra.net/iiif/NL-HaNA_1.01.02/3783/NL-HaNA_1.01.02_3783_0431.jpg", "prev_meeting_viewer_url")</f>
        <v>prev_meeting_viewer_url</v>
      </c>
      <c r="Y407" t="str">
        <f>HYPERLINK("https://images.diginfra.net/iiif/NL-HaNA_1.01.02/3783/NL-HaNA_1.01.02_3783_0431.jpg/3273,2635,1035,810/full/0/default.jpg", "prev_meeting_iiif_url")</f>
        <v>prev_meeting_iiif_url</v>
      </c>
      <c r="Z407" t="s">
        <v>33</v>
      </c>
      <c r="AA407" t="s">
        <v>1761</v>
      </c>
      <c r="AB407" t="str">
        <f>HYPERLINK("https://images.diginfra.net/framed3.html?imagesetuuid=67533019-4ca0-4b08-b87e-fd5590e7a077&amp;uri=https://images.diginfra.net/iiif/NL-HaNA_1.01.02/3783/NL-HaNA_1.01.02_3783_0433.jpg", "next_meeting_viewer_url")</f>
        <v>next_meeting_viewer_url</v>
      </c>
      <c r="AC407" t="str">
        <f>HYPERLINK("https://images.diginfra.net/iiif/NL-HaNA_1.01.02/3783/NL-HaNA_1.01.02_3783_0433.jpg/281,1987,1099,1384/full/0/default.jpg", "next_meeting_iiif_url")</f>
        <v>next_meeting_iiif_url</v>
      </c>
    </row>
    <row r="408" spans="1:29" x14ac:dyDescent="0.2">
      <c r="A408" t="s">
        <v>1762</v>
      </c>
      <c r="B408" t="s">
        <v>59</v>
      </c>
      <c r="C408" t="s">
        <v>1165</v>
      </c>
      <c r="D408" t="b">
        <v>1</v>
      </c>
      <c r="E408" t="b">
        <v>1</v>
      </c>
      <c r="I408" t="s">
        <v>1763</v>
      </c>
      <c r="J408">
        <v>3785</v>
      </c>
      <c r="K408">
        <v>408</v>
      </c>
      <c r="L408">
        <v>2585</v>
      </c>
      <c r="M408">
        <v>2692</v>
      </c>
      <c r="N408">
        <f t="shared" si="8"/>
        <v>816</v>
      </c>
      <c r="O408">
        <v>815</v>
      </c>
      <c r="P408">
        <v>0</v>
      </c>
      <c r="Q408">
        <v>2</v>
      </c>
      <c r="R408">
        <v>0</v>
      </c>
      <c r="S408" t="s">
        <v>33</v>
      </c>
      <c r="T408" t="str">
        <f>HYPERLINK("https://images.diginfra.net/framed3.html?imagesetuuid=88a314f7-936a-49fb-9ac3-0115764531f2&amp;uri=https://images.diginfra.net/iiif/NL-HaNA_1.01.02/3785/NL-HaNA_1.01.02_3785_0408.jpg", "viewer_url")</f>
        <v>viewer_url</v>
      </c>
      <c r="U408" t="str">
        <f>HYPERLINK("https://images.diginfra.net/iiif/NL-HaNA_1.01.02/3785/NL-HaNA_1.01.02_3785_0408.jpg/2585,2692,861,664/full/0/default.jpg", "iiif_url")</f>
        <v>iiif_url</v>
      </c>
      <c r="V408" t="s">
        <v>33</v>
      </c>
      <c r="W408" t="s">
        <v>1162</v>
      </c>
      <c r="X408" t="str">
        <f>HYPERLINK("https://images.diginfra.net/framed3.html?imagesetuuid=88a314f7-936a-49fb-9ac3-0115764531f2&amp;uri=https://images.diginfra.net/iiif/NL-HaNA_1.01.02/3785/NL-HaNA_1.01.02_3785_0407.jpg", "prev_meeting_viewer_url")</f>
        <v>prev_meeting_viewer_url</v>
      </c>
      <c r="Y408" t="str">
        <f>HYPERLINK("https://images.diginfra.net/iiif/NL-HaNA_1.01.02/3785/NL-HaNA_1.01.02_3785_0407.jpg/3358,1412,1089,2004/full/0/default.jpg", "prev_meeting_iiif_url")</f>
        <v>prev_meeting_iiif_url</v>
      </c>
      <c r="Z408" t="s">
        <v>33</v>
      </c>
      <c r="AA408" t="s">
        <v>1764</v>
      </c>
      <c r="AB408" t="str">
        <f>HYPERLINK("https://images.diginfra.net/framed3.html?imagesetuuid=88a314f7-936a-49fb-9ac3-0115764531f2&amp;uri=https://images.diginfra.net/iiif/NL-HaNA_1.01.02/3785/NL-HaNA_1.01.02_3785_0409.jpg", "next_meeting_viewer_url")</f>
        <v>next_meeting_viewer_url</v>
      </c>
      <c r="AC408" t="str">
        <f>HYPERLINK("https://images.diginfra.net/iiif/NL-HaNA_1.01.02/3785/NL-HaNA_1.01.02_3785_0409.jpg/1109,1456,1116,1999/full/0/default.jpg", "next_meeting_iiif_url")</f>
        <v>next_meeting_iiif_url</v>
      </c>
    </row>
    <row r="409" spans="1:29" x14ac:dyDescent="0.2">
      <c r="A409" t="s">
        <v>1765</v>
      </c>
      <c r="B409" t="s">
        <v>30</v>
      </c>
      <c r="C409" t="s">
        <v>1766</v>
      </c>
      <c r="D409" t="b">
        <v>1</v>
      </c>
      <c r="E409" t="b">
        <v>1</v>
      </c>
      <c r="I409" t="s">
        <v>1767</v>
      </c>
      <c r="J409">
        <v>3786</v>
      </c>
      <c r="K409">
        <v>139</v>
      </c>
      <c r="L409">
        <v>336</v>
      </c>
      <c r="M409">
        <v>1147</v>
      </c>
      <c r="N409">
        <f t="shared" si="8"/>
        <v>278</v>
      </c>
      <c r="O409">
        <v>276</v>
      </c>
      <c r="P409">
        <v>0</v>
      </c>
      <c r="Q409">
        <v>2</v>
      </c>
      <c r="R409">
        <v>0</v>
      </c>
      <c r="S409" t="s">
        <v>33</v>
      </c>
      <c r="T409" t="str">
        <f>HYPERLINK("https://images.diginfra.net/framed3.html?imagesetuuid=508661ee-474e-44be-a74a-8aac34348aeb&amp;uri=https://images.diginfra.net/iiif/NL-HaNA_1.01.02/3786/NL-HaNA_1.01.02_3786_0139.jpg", "viewer_url")</f>
        <v>viewer_url</v>
      </c>
      <c r="U409" t="str">
        <f>HYPERLINK("https://images.diginfra.net/iiif/NL-HaNA_1.01.02/3786/NL-HaNA_1.01.02_3786_0139.jpg/336,1147,939,2147/full/0/default.jpg", "iiif_url")</f>
        <v>iiif_url</v>
      </c>
      <c r="V409" t="s">
        <v>33</v>
      </c>
      <c r="W409" t="s">
        <v>1768</v>
      </c>
      <c r="X409" t="str">
        <f>HYPERLINK("https://images.diginfra.net/framed3.html?imagesetuuid=508661ee-474e-44be-a74a-8aac34348aeb&amp;uri=https://images.diginfra.net/iiif/NL-HaNA_1.01.02/3786/NL-HaNA_1.01.02_3786_0137.jpg", "prev_meeting_viewer_url")</f>
        <v>prev_meeting_viewer_url</v>
      </c>
      <c r="Y409" t="str">
        <f>HYPERLINK("https://images.diginfra.net/iiif/NL-HaNA_1.01.02/3786/NL-HaNA_1.01.02_3786_0137.jpg/3291,2326,1033,1068/full/0/default.jpg", "prev_meeting_iiif_url")</f>
        <v>prev_meeting_iiif_url</v>
      </c>
      <c r="Z409" t="s">
        <v>33</v>
      </c>
      <c r="AA409" t="s">
        <v>1769</v>
      </c>
      <c r="AB409" t="str">
        <f>HYPERLINK("https://images.diginfra.net/framed3.html?imagesetuuid=508661ee-474e-44be-a74a-8aac34348aeb&amp;uri=https://images.diginfra.net/iiif/NL-HaNA_1.01.02/3786/NL-HaNA_1.01.02_3786_0141.jpg", "next_meeting_viewer_url")</f>
        <v>next_meeting_viewer_url</v>
      </c>
      <c r="AC409" t="str">
        <f>HYPERLINK("https://images.diginfra.net/iiif/NL-HaNA_1.01.02/3786/NL-HaNA_1.01.02_3786_0141.jpg/2354,2626,1025,707/full/0/default.jpg", "next_meeting_iiif_url")</f>
        <v>next_meeting_iiif_url</v>
      </c>
    </row>
    <row r="410" spans="1:29" x14ac:dyDescent="0.2">
      <c r="A410" t="s">
        <v>1770</v>
      </c>
      <c r="B410" t="s">
        <v>63</v>
      </c>
      <c r="D410" t="b">
        <v>0</v>
      </c>
      <c r="E410" t="b">
        <v>0</v>
      </c>
      <c r="N410">
        <f t="shared" si="8"/>
        <v>0</v>
      </c>
      <c r="T410" t="str">
        <f>HYPERLINK("None", "viewer_url")</f>
        <v>viewer_url</v>
      </c>
      <c r="U410" t="str">
        <f>HYPERLINK("None", "iiif_url")</f>
        <v>iiif_url</v>
      </c>
      <c r="V410" t="s">
        <v>44</v>
      </c>
      <c r="W410" t="s">
        <v>1771</v>
      </c>
      <c r="X410" t="str">
        <f>HYPERLINK("https://images.diginfra.net/framed3.html?imagesetuuid=0d0ede5e-a7f6-4a03-b996-493e50528c24&amp;uri=https://images.diginfra.net/iiif/NL-HaNA_1.01.02/3773/NL-HaNA_1.01.02_3773_0283.jpg", "prev_meeting_viewer_url")</f>
        <v>prev_meeting_viewer_url</v>
      </c>
      <c r="Y410" t="str">
        <f>HYPERLINK("https://images.diginfra.net/iiif/NL-HaNA_1.01.02/3773/NL-HaNA_1.01.02_3773_0283.jpg/2447,2270,1042,1060/full/0/default.jpg", "prev_meeting_iiif_url")</f>
        <v>prev_meeting_iiif_url</v>
      </c>
    </row>
    <row r="411" spans="1:29" x14ac:dyDescent="0.2">
      <c r="A411" t="s">
        <v>1772</v>
      </c>
      <c r="B411" t="s">
        <v>30</v>
      </c>
      <c r="C411" t="s">
        <v>1773</v>
      </c>
      <c r="D411" t="b">
        <v>1</v>
      </c>
      <c r="E411" t="b">
        <v>1</v>
      </c>
      <c r="I411" t="s">
        <v>1774</v>
      </c>
      <c r="J411">
        <v>3834</v>
      </c>
      <c r="K411">
        <v>572</v>
      </c>
      <c r="L411">
        <v>2533</v>
      </c>
      <c r="M411">
        <v>1589</v>
      </c>
      <c r="N411">
        <f t="shared" si="8"/>
        <v>1144</v>
      </c>
      <c r="O411">
        <v>1143</v>
      </c>
      <c r="P411">
        <v>0</v>
      </c>
      <c r="Q411">
        <v>1</v>
      </c>
      <c r="R411">
        <v>0</v>
      </c>
      <c r="S411" t="s">
        <v>33</v>
      </c>
      <c r="T411" t="str">
        <f>HYPERLINK("https://images.diginfra.net/framed3.html?imagesetuuid=bf11cd8e-e3f4-444c-9caa-dcdfd20137d7&amp;uri=https://images.diginfra.net/iiif/NL-HaNA_1.01.02/3834/NL-HaNA_1.01.02_3834_0572.jpg", "viewer_url")</f>
        <v>viewer_url</v>
      </c>
      <c r="U411" t="str">
        <f>HYPERLINK("https://images.diginfra.net/iiif/NL-HaNA_1.01.02/3834/NL-HaNA_1.01.02_3834_0572.jpg/2533,1589,888,1706/full/0/default.jpg", "iiif_url")</f>
        <v>iiif_url</v>
      </c>
      <c r="V411" t="s">
        <v>33</v>
      </c>
      <c r="W411" t="s">
        <v>258</v>
      </c>
      <c r="X411" t="str">
        <f>HYPERLINK("https://images.diginfra.net/framed3.html?imagesetuuid=bf11cd8e-e3f4-444c-9caa-dcdfd20137d7&amp;uri=https://images.diginfra.net/iiif/NL-HaNA_1.01.02/3834/NL-HaNA_1.01.02_3834_0569.jpg", "prev_meeting_viewer_url")</f>
        <v>prev_meeting_viewer_url</v>
      </c>
      <c r="Y411" t="str">
        <f>HYPERLINK("https://images.diginfra.net/iiif/NL-HaNA_1.01.02/3834/NL-HaNA_1.01.02_3834_0569.jpg/3315,1139,1095,2127/full/0/default.jpg", "prev_meeting_iiif_url")</f>
        <v>prev_meeting_iiif_url</v>
      </c>
      <c r="Z411" t="s">
        <v>33</v>
      </c>
      <c r="AA411" t="s">
        <v>1775</v>
      </c>
      <c r="AB411" t="str">
        <f>HYPERLINK("https://images.diginfra.net/framed3.html?imagesetuuid=bf11cd8e-e3f4-444c-9caa-dcdfd20137d7&amp;uri=https://images.diginfra.net/iiif/NL-HaNA_1.01.02/3834/NL-HaNA_1.01.02_3834_0573.jpg", "next_meeting_viewer_url")</f>
        <v>next_meeting_viewer_url</v>
      </c>
      <c r="AC411" t="str">
        <f>HYPERLINK("https://images.diginfra.net/iiif/NL-HaNA_1.01.02/3834/NL-HaNA_1.01.02_3834_0573.jpg/2365,260,1084,3095/full/0/default.jpg", "next_meeting_iiif_url")</f>
        <v>next_meeting_iiif_url</v>
      </c>
    </row>
    <row r="412" spans="1:29" x14ac:dyDescent="0.2">
      <c r="A412" t="s">
        <v>1776</v>
      </c>
      <c r="B412" t="s">
        <v>59</v>
      </c>
      <c r="D412" t="b">
        <v>0</v>
      </c>
      <c r="E412" t="b">
        <v>0</v>
      </c>
      <c r="N412">
        <f t="shared" si="8"/>
        <v>0</v>
      </c>
      <c r="T412" t="str">
        <f>HYPERLINK("None", "viewer_url")</f>
        <v>viewer_url</v>
      </c>
      <c r="U412" t="str">
        <f>HYPERLINK("None", "iiif_url")</f>
        <v>iiif_url</v>
      </c>
      <c r="V412" t="s">
        <v>44</v>
      </c>
      <c r="W412" t="s">
        <v>1777</v>
      </c>
      <c r="X412" t="str">
        <f>HYPERLINK("https://images.diginfra.net/framed3.html?imagesetuuid=3b3d915a-84ba-4c76-9942-747a007cc965&amp;uri=https://images.diginfra.net/iiif/NL-HaNA_1.01.02/3852/NL-HaNA_1.01.02_3852_0484.jpg", "prev_meeting_viewer_url")</f>
        <v>prev_meeting_viewer_url</v>
      </c>
      <c r="Y412" t="str">
        <f>HYPERLINK("https://images.diginfra.net/iiif/NL-HaNA_1.01.02/3852/NL-HaNA_1.01.02_3852_0484.jpg/331,1113,1071,2291/full/0/default.jpg", "prev_meeting_iiif_url")</f>
        <v>prev_meeting_iiif_url</v>
      </c>
    </row>
    <row r="413" spans="1:29" x14ac:dyDescent="0.2">
      <c r="A413" t="s">
        <v>1778</v>
      </c>
      <c r="B413" t="s">
        <v>79</v>
      </c>
      <c r="C413" t="s">
        <v>1779</v>
      </c>
      <c r="D413" t="b">
        <v>1</v>
      </c>
      <c r="E413" t="b">
        <v>1</v>
      </c>
      <c r="I413" t="s">
        <v>1780</v>
      </c>
      <c r="J413">
        <v>3797</v>
      </c>
      <c r="K413">
        <v>431</v>
      </c>
      <c r="L413">
        <v>3519</v>
      </c>
      <c r="M413">
        <v>2223</v>
      </c>
      <c r="N413">
        <f t="shared" si="8"/>
        <v>862</v>
      </c>
      <c r="O413">
        <v>861</v>
      </c>
      <c r="P413">
        <v>1</v>
      </c>
      <c r="Q413">
        <v>2</v>
      </c>
      <c r="R413">
        <v>0</v>
      </c>
      <c r="S413" t="s">
        <v>33</v>
      </c>
      <c r="T413" t="str">
        <f>HYPERLINK("https://images.diginfra.net/framed3.html?imagesetuuid=02516f87-475f-4001-a332-8d96f5aecb93&amp;uri=https://images.diginfra.net/iiif/NL-HaNA_1.01.02/3797/NL-HaNA_1.01.02_3797_0431.jpg", "viewer_url")</f>
        <v>viewer_url</v>
      </c>
      <c r="U413" t="str">
        <f>HYPERLINK("https://images.diginfra.net/iiif/NL-HaNA_1.01.02/3797/NL-HaNA_1.01.02_3797_0431.jpg/3519,2223,882,1049/full/0/default.jpg", "iiif_url")</f>
        <v>iiif_url</v>
      </c>
      <c r="V413" t="s">
        <v>33</v>
      </c>
      <c r="W413" t="s">
        <v>1781</v>
      </c>
      <c r="X413" t="str">
        <f>HYPERLINK("https://images.diginfra.net/framed3.html?imagesetuuid=02516f87-475f-4001-a332-8d96f5aecb93&amp;uri=https://images.diginfra.net/iiif/NL-HaNA_1.01.02/3797/NL-HaNA_1.01.02_3797_0431.jpg", "prev_meeting_viewer_url")</f>
        <v>prev_meeting_viewer_url</v>
      </c>
      <c r="Y413" t="str">
        <f>HYPERLINK("https://images.diginfra.net/iiif/NL-HaNA_1.01.02/3797/NL-HaNA_1.01.02_3797_0431.jpg/382,1362,1087,1974/full/0/default.jpg", "prev_meeting_iiif_url")</f>
        <v>prev_meeting_iiif_url</v>
      </c>
      <c r="Z413" t="s">
        <v>33</v>
      </c>
      <c r="AB413" t="str">
        <f>HYPERLINK("https://images.diginfra.net/framed3.html?imagesetuuid=02516f87-475f-4001-a332-8d96f5aecb93&amp;uri=https://images.diginfra.net/iiif/NL-HaNA_1.01.02/3797/NL-HaNA_1.01.02_3797_0432.jpg", "next_meeting_viewer_url")</f>
        <v>next_meeting_viewer_url</v>
      </c>
      <c r="AC413" t="str">
        <f>HYPERLINK("https://images.diginfra.net/iiif/NL-HaNA_1.01.02/3797/NL-HaNA_1.01.02_3797_0432.jpg/1298,315,1108,3041/full/0/default.jpg", "next_meeting_iiif_url")</f>
        <v>next_meeting_iiif_url</v>
      </c>
    </row>
    <row r="414" spans="1:29" x14ac:dyDescent="0.2">
      <c r="A414" t="s">
        <v>1782</v>
      </c>
      <c r="B414" t="s">
        <v>37</v>
      </c>
      <c r="C414" t="s">
        <v>1783</v>
      </c>
      <c r="D414" t="b">
        <v>1</v>
      </c>
      <c r="E414" t="b">
        <v>1</v>
      </c>
      <c r="I414" t="s">
        <v>1784</v>
      </c>
      <c r="J414">
        <v>3761</v>
      </c>
      <c r="K414">
        <v>82</v>
      </c>
      <c r="L414">
        <v>2505</v>
      </c>
      <c r="M414">
        <v>1821</v>
      </c>
      <c r="N414">
        <f t="shared" si="8"/>
        <v>164</v>
      </c>
      <c r="O414">
        <v>163</v>
      </c>
      <c r="P414">
        <v>0</v>
      </c>
      <c r="Q414">
        <v>1</v>
      </c>
      <c r="R414">
        <v>0</v>
      </c>
      <c r="S414" t="s">
        <v>33</v>
      </c>
      <c r="T414" t="str">
        <f>HYPERLINK("https://images.diginfra.net/framed3.html?imagesetuuid=e6c3b32f-6683-4b16-9444-37e515e232e1&amp;uri=https://images.diginfra.net/iiif/NL-HaNA_1.01.02/3761/NL-HaNA_1.01.02_3761_0082.jpg", "viewer_url")</f>
        <v>viewer_url</v>
      </c>
      <c r="U414" t="str">
        <f>HYPERLINK("https://images.diginfra.net/iiif/NL-HaNA_1.01.02/3761/NL-HaNA_1.01.02_3761_0082.jpg/2505,1821,906,1554/full/0/default.jpg", "iiif_url")</f>
        <v>iiif_url</v>
      </c>
      <c r="V414" t="s">
        <v>33</v>
      </c>
      <c r="X414" t="str">
        <f>HYPERLINK("https://images.diginfra.net/framed3.html?imagesetuuid=e6c3b32f-6683-4b16-9444-37e515e232e1&amp;uri=https://images.diginfra.net/iiif/NL-HaNA_1.01.02/3761/NL-HaNA_1.01.02_3761_0081.jpg", "prev_meeting_viewer_url")</f>
        <v>prev_meeting_viewer_url</v>
      </c>
      <c r="Y414" t="str">
        <f>HYPERLINK("https://images.diginfra.net/iiif/NL-HaNA_1.01.02/3761/NL-HaNA_1.01.02_3761_0081.jpg/2375,408,1102,3033/full/0/default.jpg", "prev_meeting_iiif_url")</f>
        <v>prev_meeting_iiif_url</v>
      </c>
      <c r="Z414" t="s">
        <v>33</v>
      </c>
      <c r="AA414" t="s">
        <v>1785</v>
      </c>
      <c r="AB414" t="str">
        <f>HYPERLINK("https://images.diginfra.net/framed3.html?imagesetuuid=e6c3b32f-6683-4b16-9444-37e515e232e1&amp;uri=https://images.diginfra.net/iiif/NL-HaNA_1.01.02/3761/NL-HaNA_1.01.02_3761_0084.jpg", "next_meeting_viewer_url")</f>
        <v>next_meeting_viewer_url</v>
      </c>
      <c r="AC414" t="str">
        <f>HYPERLINK("https://images.diginfra.net/iiif/NL-HaNA_1.01.02/3761/NL-HaNA_1.01.02_3761_0084.jpg/301,669,1119,2796/full/0/default.jpg", "next_meeting_iiif_url")</f>
        <v>next_meeting_iiif_url</v>
      </c>
    </row>
    <row r="415" spans="1:29" x14ac:dyDescent="0.2">
      <c r="A415" t="s">
        <v>1786</v>
      </c>
      <c r="B415" t="s">
        <v>85</v>
      </c>
      <c r="C415" t="s">
        <v>1787</v>
      </c>
      <c r="D415" t="b">
        <v>1</v>
      </c>
      <c r="E415" t="b">
        <v>1</v>
      </c>
      <c r="I415" t="s">
        <v>1788</v>
      </c>
      <c r="J415">
        <v>3770</v>
      </c>
      <c r="K415">
        <v>103</v>
      </c>
      <c r="L415">
        <v>2485</v>
      </c>
      <c r="M415">
        <v>814</v>
      </c>
      <c r="N415">
        <f t="shared" si="8"/>
        <v>206</v>
      </c>
      <c r="O415">
        <v>205</v>
      </c>
      <c r="P415">
        <v>0</v>
      </c>
      <c r="Q415">
        <v>1</v>
      </c>
      <c r="R415">
        <v>0</v>
      </c>
      <c r="S415" t="s">
        <v>33</v>
      </c>
      <c r="T415" t="str">
        <f>HYPERLINK("https://images.diginfra.net/framed3.html?imagesetuuid=ee423b29-ca44-4ac9-bc3a-01422a0a6240&amp;uri=https://images.diginfra.net/iiif/NL-HaNA_1.01.02/3770/NL-HaNA_1.01.02_3770_0103.jpg", "viewer_url")</f>
        <v>viewer_url</v>
      </c>
      <c r="U415" t="str">
        <f>HYPERLINK("https://images.diginfra.net/iiif/NL-HaNA_1.01.02/3770/NL-HaNA_1.01.02_3770_0103.jpg/2485,814,918,2478/full/0/default.jpg", "iiif_url")</f>
        <v>iiif_url</v>
      </c>
      <c r="V415" t="s">
        <v>33</v>
      </c>
      <c r="W415" t="s">
        <v>1789</v>
      </c>
      <c r="X415" t="str">
        <f>HYPERLINK("https://images.diginfra.net/framed3.html?imagesetuuid=ee423b29-ca44-4ac9-bc3a-01422a0a6240&amp;uri=https://images.diginfra.net/iiif/NL-HaNA_1.01.02/3770/NL-HaNA_1.01.02_3770_0102.jpg", "prev_meeting_viewer_url")</f>
        <v>prev_meeting_viewer_url</v>
      </c>
      <c r="Y415" t="str">
        <f>HYPERLINK("https://images.diginfra.net/iiif/NL-HaNA_1.01.02/3770/NL-HaNA_1.01.02_3770_0102.jpg/327,1176,1095,2247/full/0/default.jpg", "prev_meeting_iiif_url")</f>
        <v>prev_meeting_iiif_url</v>
      </c>
      <c r="Z415" t="s">
        <v>33</v>
      </c>
      <c r="AA415" t="s">
        <v>1790</v>
      </c>
      <c r="AB415" t="str">
        <f>HYPERLINK("https://images.diginfra.net/framed3.html?imagesetuuid=ee423b29-ca44-4ac9-bc3a-01422a0a6240&amp;uri=https://images.diginfra.net/iiif/NL-HaNA_1.01.02/3770/NL-HaNA_1.01.02_3770_0105.jpg", "next_meeting_viewer_url")</f>
        <v>next_meeting_viewer_url</v>
      </c>
      <c r="AC415" t="str">
        <f>HYPERLINK("https://images.diginfra.net/iiif/NL-HaNA_1.01.02/3770/NL-HaNA_1.01.02_3770_0105.jpg/1275,830,1112,2592/full/0/default.jpg", "next_meeting_iiif_url")</f>
        <v>next_meeting_iiif_url</v>
      </c>
    </row>
    <row r="416" spans="1:29" x14ac:dyDescent="0.2">
      <c r="A416" t="s">
        <v>1791</v>
      </c>
      <c r="B416" t="s">
        <v>59</v>
      </c>
      <c r="C416" t="s">
        <v>1792</v>
      </c>
      <c r="D416" t="b">
        <v>1</v>
      </c>
      <c r="E416" t="b">
        <v>1</v>
      </c>
      <c r="I416" t="s">
        <v>1793</v>
      </c>
      <c r="J416">
        <v>3794</v>
      </c>
      <c r="K416">
        <v>276</v>
      </c>
      <c r="L416">
        <v>1446</v>
      </c>
      <c r="M416">
        <v>569</v>
      </c>
      <c r="N416">
        <f t="shared" si="8"/>
        <v>552</v>
      </c>
      <c r="O416">
        <v>550</v>
      </c>
      <c r="P416">
        <v>1</v>
      </c>
      <c r="Q416">
        <v>1</v>
      </c>
      <c r="R416">
        <v>0</v>
      </c>
      <c r="S416" t="s">
        <v>33</v>
      </c>
      <c r="T416" t="str">
        <f>HYPERLINK("https://images.diginfra.net/framed3.html?imagesetuuid=5debb5c6-ae39-480e-845e-6e10690f8984&amp;uri=https://images.diginfra.net/iiif/NL-HaNA_1.01.02/3794/NL-HaNA_1.01.02_3794_0276.jpg", "viewer_url")</f>
        <v>viewer_url</v>
      </c>
      <c r="U416" t="str">
        <f>HYPERLINK("https://images.diginfra.net/iiif/NL-HaNA_1.01.02/3794/NL-HaNA_1.01.02_3794_0276.jpg/1446,569,938,2800/full/0/default.jpg", "iiif_url")</f>
        <v>iiif_url</v>
      </c>
      <c r="V416" t="s">
        <v>33</v>
      </c>
      <c r="W416" t="s">
        <v>1794</v>
      </c>
      <c r="X416" t="str">
        <f>HYPERLINK("https://images.diginfra.net/framed3.html?imagesetuuid=5debb5c6-ae39-480e-845e-6e10690f8984&amp;uri=https://images.diginfra.net/iiif/NL-HaNA_1.01.02/3794/NL-HaNA_1.01.02_3794_0275.jpg", "prev_meeting_viewer_url")</f>
        <v>prev_meeting_viewer_url</v>
      </c>
      <c r="Y416" t="str">
        <f>HYPERLINK("https://images.diginfra.net/iiif/NL-HaNA_1.01.02/3794/NL-HaNA_1.01.02_3794_0275.jpg/3427,1359,1105,2122/full/0/default.jpg", "prev_meeting_iiif_url")</f>
        <v>prev_meeting_iiif_url</v>
      </c>
      <c r="Z416" t="s">
        <v>33</v>
      </c>
      <c r="AA416" t="s">
        <v>1795</v>
      </c>
      <c r="AB416" t="str">
        <f>HYPERLINK("https://images.diginfra.net/framed3.html?imagesetuuid=5debb5c6-ae39-480e-845e-6e10690f8984&amp;uri=https://images.diginfra.net/iiif/NL-HaNA_1.01.02/3794/NL-HaNA_1.01.02_3794_0276.jpg", "next_meeting_viewer_url")</f>
        <v>next_meeting_viewer_url</v>
      </c>
      <c r="AC416" t="str">
        <f>HYPERLINK("https://images.diginfra.net/iiif/NL-HaNA_1.01.02/3794/NL-HaNA_1.01.02_3794_0276.jpg/2511,816,1099,2614/full/0/default.jpg", "next_meeting_iiif_url")</f>
        <v>next_meeting_iiif_url</v>
      </c>
    </row>
    <row r="417" spans="1:29" x14ac:dyDescent="0.2">
      <c r="A417" t="s">
        <v>1796</v>
      </c>
      <c r="B417" t="s">
        <v>30</v>
      </c>
      <c r="C417" t="s">
        <v>1797</v>
      </c>
      <c r="D417" t="b">
        <v>1</v>
      </c>
      <c r="E417" t="b">
        <v>1</v>
      </c>
      <c r="I417" t="s">
        <v>1798</v>
      </c>
      <c r="J417">
        <v>3796</v>
      </c>
      <c r="K417">
        <v>388</v>
      </c>
      <c r="L417">
        <v>3460</v>
      </c>
      <c r="M417">
        <v>2155</v>
      </c>
      <c r="N417">
        <f t="shared" si="8"/>
        <v>776</v>
      </c>
      <c r="O417">
        <v>775</v>
      </c>
      <c r="P417">
        <v>1</v>
      </c>
      <c r="Q417">
        <v>2</v>
      </c>
      <c r="R417">
        <v>0</v>
      </c>
      <c r="S417" t="s">
        <v>33</v>
      </c>
      <c r="T417" t="str">
        <f>HYPERLINK("https://images.diginfra.net/framed3.html?imagesetuuid=ece8f80b-0549-4e73-82ff-af47ed8525ac&amp;uri=https://images.diginfra.net/iiif/NL-HaNA_1.01.02/3796/NL-HaNA_1.01.02_3796_0388.jpg", "viewer_url")</f>
        <v>viewer_url</v>
      </c>
      <c r="U417" t="str">
        <f>HYPERLINK("https://images.diginfra.net/iiif/NL-HaNA_1.01.02/3796/NL-HaNA_1.01.02_3796_0388.jpg/3460,2155,886,1125/full/0/default.jpg", "iiif_url")</f>
        <v>iiif_url</v>
      </c>
      <c r="V417" t="s">
        <v>33</v>
      </c>
      <c r="W417" t="s">
        <v>1799</v>
      </c>
      <c r="X417" t="str">
        <f>HYPERLINK("https://images.diginfra.net/framed3.html?imagesetuuid=ece8f80b-0549-4e73-82ff-af47ed8525ac&amp;uri=https://images.diginfra.net/iiif/NL-HaNA_1.01.02/3796/NL-HaNA_1.01.02_3796_0387.jpg", "prev_meeting_viewer_url")</f>
        <v>prev_meeting_viewer_url</v>
      </c>
      <c r="Y417" t="str">
        <f>HYPERLINK("https://images.diginfra.net/iiif/NL-HaNA_1.01.02/3796/NL-HaNA_1.01.02_3796_0387.jpg/2389,429,1088,2934/full/0/default.jpg", "prev_meeting_iiif_url")</f>
        <v>prev_meeting_iiif_url</v>
      </c>
      <c r="Z417" t="s">
        <v>33</v>
      </c>
      <c r="AA417" t="s">
        <v>1800</v>
      </c>
      <c r="AB417" t="str">
        <f>HYPERLINK("https://images.diginfra.net/framed3.html?imagesetuuid=ece8f80b-0549-4e73-82ff-af47ed8525ac&amp;uri=https://images.diginfra.net/iiif/NL-HaNA_1.01.02/3796/NL-HaNA_1.01.02_3796_0390.jpg", "next_meeting_viewer_url")</f>
        <v>next_meeting_viewer_url</v>
      </c>
      <c r="AC417" t="str">
        <f>HYPERLINK("https://images.diginfra.net/iiif/NL-HaNA_1.01.02/3796/NL-HaNA_1.01.02_3796_0390.jpg/3341,1508,1085,1870/full/0/default.jpg", "next_meeting_iiif_url")</f>
        <v>next_meeting_iiif_url</v>
      </c>
    </row>
    <row r="418" spans="1:29" x14ac:dyDescent="0.2">
      <c r="A418" t="s">
        <v>1801</v>
      </c>
      <c r="B418" t="s">
        <v>85</v>
      </c>
      <c r="C418" t="s">
        <v>1802</v>
      </c>
      <c r="D418" t="b">
        <v>1</v>
      </c>
      <c r="E418" t="b">
        <v>1</v>
      </c>
      <c r="I418" t="s">
        <v>1803</v>
      </c>
      <c r="J418">
        <v>3764</v>
      </c>
      <c r="K418">
        <v>36</v>
      </c>
      <c r="L418">
        <v>1470</v>
      </c>
      <c r="M418">
        <v>2569</v>
      </c>
      <c r="N418">
        <f t="shared" si="8"/>
        <v>72</v>
      </c>
      <c r="O418">
        <v>70</v>
      </c>
      <c r="P418">
        <v>1</v>
      </c>
      <c r="Q418">
        <v>1</v>
      </c>
      <c r="R418">
        <v>0</v>
      </c>
      <c r="S418" t="s">
        <v>33</v>
      </c>
      <c r="T418" t="str">
        <f>HYPERLINK("https://images.diginfra.net/framed3.html?imagesetuuid=111590de-8f08-498e-8bad-f6a289f87065&amp;uri=https://images.diginfra.net/iiif/NL-HaNA_1.01.02/3764/NL-HaNA_1.01.02_3764_0036.jpg", "viewer_url")</f>
        <v>viewer_url</v>
      </c>
      <c r="U418" t="str">
        <f>HYPERLINK("https://images.diginfra.net/iiif/NL-HaNA_1.01.02/3764/NL-HaNA_1.01.02_3764_0036.jpg/1470,2569,856,670/full/0/default.jpg", "iiif_url")</f>
        <v>iiif_url</v>
      </c>
      <c r="V418" t="s">
        <v>33</v>
      </c>
      <c r="W418" t="s">
        <v>1804</v>
      </c>
      <c r="X418" t="str">
        <f>HYPERLINK("https://images.diginfra.net/framed3.html?imagesetuuid=111590de-8f08-498e-8bad-f6a289f87065&amp;uri=https://images.diginfra.net/iiif/NL-HaNA_1.01.02/3764/NL-HaNA_1.01.02_3764_0034.jpg", "prev_meeting_viewer_url")</f>
        <v>prev_meeting_viewer_url</v>
      </c>
      <c r="Y418" t="str">
        <f>HYPERLINK("https://images.diginfra.net/iiif/NL-HaNA_1.01.02/3764/NL-HaNA_1.01.02_3764_0034.jpg/2551,1313,1124,2049/full/0/default.jpg", "prev_meeting_iiif_url")</f>
        <v>prev_meeting_iiif_url</v>
      </c>
      <c r="Z418" t="s">
        <v>33</v>
      </c>
      <c r="AA418" t="s">
        <v>1805</v>
      </c>
      <c r="AB418" t="str">
        <f>HYPERLINK("https://images.diginfra.net/framed3.html?imagesetuuid=111590de-8f08-498e-8bad-f6a289f87065&amp;uri=https://images.diginfra.net/iiif/NL-HaNA_1.01.02/3764/NL-HaNA_1.01.02_3764_0038.jpg", "next_meeting_viewer_url")</f>
        <v>next_meeting_viewer_url</v>
      </c>
      <c r="AC418" t="str">
        <f>HYPERLINK("https://images.diginfra.net/iiif/NL-HaNA_1.01.02/3764/NL-HaNA_1.01.02_3764_0038.jpg/1277,1441,1117,1969/full/0/default.jpg", "next_meeting_iiif_url")</f>
        <v>next_meeting_iiif_url</v>
      </c>
    </row>
    <row r="419" spans="1:29" x14ac:dyDescent="0.2">
      <c r="A419" t="s">
        <v>1806</v>
      </c>
      <c r="B419" t="s">
        <v>37</v>
      </c>
      <c r="C419" t="s">
        <v>1724</v>
      </c>
      <c r="D419" t="b">
        <v>1</v>
      </c>
      <c r="E419" t="b">
        <v>1</v>
      </c>
      <c r="I419" t="s">
        <v>1807</v>
      </c>
      <c r="J419">
        <v>3813</v>
      </c>
      <c r="K419">
        <v>356</v>
      </c>
      <c r="L419">
        <v>1444</v>
      </c>
      <c r="M419">
        <v>2853</v>
      </c>
      <c r="N419">
        <f t="shared" si="8"/>
        <v>712</v>
      </c>
      <c r="O419">
        <v>710</v>
      </c>
      <c r="P419">
        <v>1</v>
      </c>
      <c r="Q419">
        <v>1</v>
      </c>
      <c r="R419">
        <v>16</v>
      </c>
      <c r="S419" t="s">
        <v>44</v>
      </c>
      <c r="T419" t="str">
        <f>HYPERLINK("https://images.diginfra.net/framed3.html?imagesetuuid=19a3f39b-117a-4ab7-b45b-5e134b099649&amp;uri=https://images.diginfra.net/iiif/NL-HaNA_1.01.02/3813/NL-HaNA_1.01.02_3813_0356.jpg", "viewer_url")</f>
        <v>viewer_url</v>
      </c>
      <c r="U419" t="str">
        <f>HYPERLINK("https://images.diginfra.net/iiif/NL-HaNA_1.01.02/3813/NL-HaNA_1.01.02_3813_0356.jpg/1444,2853,854,407/full/0/default.jpg", "iiif_url")</f>
        <v>iiif_url</v>
      </c>
      <c r="V419" t="s">
        <v>33</v>
      </c>
      <c r="W419" t="s">
        <v>1808</v>
      </c>
      <c r="X419" t="str">
        <f>HYPERLINK("https://images.diginfra.net/framed3.html?imagesetuuid=19a3f39b-117a-4ab7-b45b-5e134b099649&amp;uri=https://images.diginfra.net/iiif/NL-HaNA_1.01.02/3813/NL-HaNA_1.01.02_3813_0354.jpg", "prev_meeting_viewer_url")</f>
        <v>prev_meeting_viewer_url</v>
      </c>
      <c r="Y419" t="str">
        <f>HYPERLINK("https://images.diginfra.net/iiif/NL-HaNA_1.01.02/3813/NL-HaNA_1.01.02_3813_0354.jpg/3470,2160,1054,1181/full/0/default.jpg", "prev_meeting_iiif_url")</f>
        <v>prev_meeting_iiif_url</v>
      </c>
    </row>
    <row r="420" spans="1:29" x14ac:dyDescent="0.2">
      <c r="A420" t="s">
        <v>1809</v>
      </c>
      <c r="B420" t="s">
        <v>37</v>
      </c>
      <c r="C420" t="s">
        <v>1714</v>
      </c>
      <c r="D420" t="b">
        <v>1</v>
      </c>
      <c r="E420" t="b">
        <v>1</v>
      </c>
      <c r="I420" t="s">
        <v>1810</v>
      </c>
      <c r="J420">
        <v>3782</v>
      </c>
      <c r="K420">
        <v>482</v>
      </c>
      <c r="L420">
        <v>359</v>
      </c>
      <c r="M420">
        <v>1665</v>
      </c>
      <c r="N420">
        <f t="shared" si="8"/>
        <v>964</v>
      </c>
      <c r="O420">
        <v>962</v>
      </c>
      <c r="P420">
        <v>0</v>
      </c>
      <c r="Q420">
        <v>1</v>
      </c>
      <c r="R420">
        <v>0</v>
      </c>
      <c r="S420" t="s">
        <v>33</v>
      </c>
      <c r="T420" t="str">
        <f>HYPERLINK("https://images.diginfra.net/framed3.html?imagesetuuid=6d3687da-fdc8-4a47-ac98-f85d45f74cb7&amp;uri=https://images.diginfra.net/iiif/NL-HaNA_1.01.02/3782/NL-HaNA_1.01.02_3782_0482.jpg", "viewer_url")</f>
        <v>viewer_url</v>
      </c>
      <c r="U420" t="str">
        <f>HYPERLINK("https://images.diginfra.net/iiif/NL-HaNA_1.01.02/3782/NL-HaNA_1.01.02_3782_0482.jpg/359,1665,916,1710/full/0/default.jpg", "iiif_url")</f>
        <v>iiif_url</v>
      </c>
      <c r="Z420" t="s">
        <v>33</v>
      </c>
      <c r="AA420" t="s">
        <v>1811</v>
      </c>
      <c r="AB420" t="str">
        <f>HYPERLINK("https://images.diginfra.net/framed3.html?imagesetuuid=6d3687da-fdc8-4a47-ac98-f85d45f74cb7&amp;uri=https://images.diginfra.net/iiif/NL-HaNA_1.01.02/3782/NL-HaNA_1.01.02_3782_0484.jpg", "next_meeting_viewer_url")</f>
        <v>next_meeting_viewer_url</v>
      </c>
      <c r="AC420" t="str">
        <f>HYPERLINK("https://images.diginfra.net/iiif/NL-HaNA_1.01.02/3782/NL-HaNA_1.01.02_3782_0484.jpg/277,341,1101,3117/full/0/default.jpg", "next_meeting_iiif_url")</f>
        <v>next_meeting_iiif_url</v>
      </c>
    </row>
    <row r="421" spans="1:29" x14ac:dyDescent="0.2">
      <c r="A421" t="s">
        <v>1812</v>
      </c>
      <c r="B421" t="s">
        <v>63</v>
      </c>
      <c r="D421" t="b">
        <v>0</v>
      </c>
      <c r="E421" t="b">
        <v>0</v>
      </c>
      <c r="I421" t="s">
        <v>1813</v>
      </c>
      <c r="J421">
        <v>3768</v>
      </c>
      <c r="K421">
        <v>73</v>
      </c>
      <c r="N421">
        <f t="shared" si="8"/>
        <v>146</v>
      </c>
      <c r="O421">
        <v>144</v>
      </c>
      <c r="P421">
        <v>1</v>
      </c>
      <c r="Q421">
        <v>1</v>
      </c>
      <c r="R421">
        <v>0</v>
      </c>
      <c r="S421" t="s">
        <v>33</v>
      </c>
      <c r="T421" t="str">
        <f>HYPERLINK("https://images.diginfra.net/framed3.html?imagesetuuid=1acf58b1-bf15-476d-be78-c088e43e81b9&amp;uri=https://images.diginfra.net/iiif/NL-HaNA_1.01.02/3768/NL-HaNA_1.01.02_3768_0073.jpg", "viewer_url")</f>
        <v>viewer_url</v>
      </c>
      <c r="U421" t="str">
        <f>HYPERLINK("https://images.diginfra.net/iiif/NL-HaNA_1.01.02/3768/NL-HaNA_1.01.02_3768_0073.jpg/1172,1494,1102,1860/full/0/default.jpg", "iiif_url")</f>
        <v>iiif_url</v>
      </c>
      <c r="V421" t="s">
        <v>33</v>
      </c>
      <c r="W421" t="s">
        <v>1814</v>
      </c>
      <c r="X421" t="str">
        <f>HYPERLINK("https://images.diginfra.net/framed3.html?imagesetuuid=1acf58b1-bf15-476d-be78-c088e43e81b9&amp;uri=https://images.diginfra.net/iiif/NL-HaNA_1.01.02/3768/NL-HaNA_1.01.02_3768_0072.jpg", "prev_meeting_viewer_url")</f>
        <v>prev_meeting_viewer_url</v>
      </c>
      <c r="Y421" t="str">
        <f>HYPERLINK("https://images.diginfra.net/iiif/NL-HaNA_1.01.02/3768/NL-HaNA_1.01.02_3768_0072.jpg/400,2936,849,458/full/0/default.jpg", "prev_meeting_iiif_url")</f>
        <v>prev_meeting_iiif_url</v>
      </c>
      <c r="Z421" t="s">
        <v>33</v>
      </c>
      <c r="AA421" t="s">
        <v>1815</v>
      </c>
      <c r="AB421" t="str">
        <f>HYPERLINK("https://images.diginfra.net/framed3.html?imagesetuuid=1acf58b1-bf15-476d-be78-c088e43e81b9&amp;uri=https://images.diginfra.net/iiif/NL-HaNA_1.01.02/3768/NL-HaNA_1.01.02_3768_0073.jpg", "next_meeting_viewer_url")</f>
        <v>next_meeting_viewer_url</v>
      </c>
      <c r="AC421" t="str">
        <f>HYPERLINK("https://images.diginfra.net/iiif/NL-HaNA_1.01.02/3768/NL-HaNA_1.01.02_3768_0073.jpg/1172,1494,1102,1860/full/0/default.jpg", "next_meeting_iiif_url")</f>
        <v>next_meeting_iiif_url</v>
      </c>
    </row>
    <row r="422" spans="1:29" x14ac:dyDescent="0.2">
      <c r="A422" t="s">
        <v>1816</v>
      </c>
      <c r="B422" t="s">
        <v>30</v>
      </c>
      <c r="C422" t="s">
        <v>1817</v>
      </c>
      <c r="D422" t="b">
        <v>1</v>
      </c>
      <c r="E422" t="b">
        <v>1</v>
      </c>
      <c r="I422" t="s">
        <v>1818</v>
      </c>
      <c r="J422">
        <v>3849</v>
      </c>
      <c r="K422">
        <v>58</v>
      </c>
      <c r="L422">
        <v>2470</v>
      </c>
      <c r="M422">
        <v>2016</v>
      </c>
      <c r="N422">
        <f t="shared" si="8"/>
        <v>116</v>
      </c>
      <c r="O422">
        <v>115</v>
      </c>
      <c r="P422">
        <v>0</v>
      </c>
      <c r="Q422">
        <v>1</v>
      </c>
      <c r="R422">
        <v>19</v>
      </c>
      <c r="S422" t="s">
        <v>44</v>
      </c>
      <c r="T422" t="str">
        <f>HYPERLINK("https://images.diginfra.net/framed3.html?imagesetuuid=7d69db40-de83-46fa-8e08-2a3f4300174e&amp;uri=https://images.diginfra.net/iiif/NL-HaNA_1.01.02/3849/NL-HaNA_1.01.02_3849_0058.jpg", "viewer_url")</f>
        <v>viewer_url</v>
      </c>
      <c r="U422" t="str">
        <f>HYPERLINK("https://images.diginfra.net/iiif/NL-HaNA_1.01.02/3849/NL-HaNA_1.01.02_3849_0058.jpg/2470,2016,912,1390/full/0/default.jpg", "iiif_url")</f>
        <v>iiif_url</v>
      </c>
      <c r="V422" t="s">
        <v>33</v>
      </c>
      <c r="W422" t="s">
        <v>1819</v>
      </c>
      <c r="X422" t="str">
        <f>HYPERLINK("https://images.diginfra.net/framed3.html?imagesetuuid=7d69db40-de83-46fa-8e08-2a3f4300174e&amp;uri=https://images.diginfra.net/iiif/NL-HaNA_1.01.02/3849/NL-HaNA_1.01.02_3849_0055.jpg", "prev_meeting_viewer_url")</f>
        <v>prev_meeting_viewer_url</v>
      </c>
      <c r="Y422" t="str">
        <f>HYPERLINK("https://images.diginfra.net/iiif/NL-HaNA_1.01.02/3849/NL-HaNA_1.01.02_3849_0055.jpg/1257,790,1084,2628/full/0/default.jpg", "prev_meeting_iiif_url")</f>
        <v>prev_meeting_iiif_url</v>
      </c>
    </row>
    <row r="423" spans="1:29" x14ac:dyDescent="0.2">
      <c r="A423" t="s">
        <v>1820</v>
      </c>
      <c r="B423" t="s">
        <v>79</v>
      </c>
      <c r="C423" t="s">
        <v>1821</v>
      </c>
      <c r="D423" t="b">
        <v>1</v>
      </c>
      <c r="E423" t="b">
        <v>1</v>
      </c>
      <c r="I423" t="s">
        <v>1822</v>
      </c>
      <c r="J423">
        <v>3843</v>
      </c>
      <c r="K423">
        <v>156</v>
      </c>
      <c r="L423">
        <v>2522</v>
      </c>
      <c r="M423">
        <v>2768</v>
      </c>
      <c r="N423">
        <f t="shared" si="8"/>
        <v>312</v>
      </c>
      <c r="O423">
        <v>311</v>
      </c>
      <c r="P423">
        <v>0</v>
      </c>
      <c r="Q423">
        <v>1</v>
      </c>
      <c r="R423">
        <v>30</v>
      </c>
      <c r="S423" t="s">
        <v>33</v>
      </c>
      <c r="T423" t="str">
        <f>HYPERLINK("https://images.diginfra.net/framed3.html?imagesetuuid=a23b748e-13e4-4409-800c-fc316cd23dec&amp;uri=https://images.diginfra.net/iiif/NL-HaNA_1.01.02/3843/NL-HaNA_1.01.02_3843_0156.jpg", "viewer_url")</f>
        <v>viewer_url</v>
      </c>
      <c r="U423" t="str">
        <f>HYPERLINK("https://images.diginfra.net/iiif/NL-HaNA_1.01.02/3843/NL-HaNA_1.01.02_3843_0156.jpg/2522,2768,844,515/full/0/default.jpg", "iiif_url")</f>
        <v>iiif_url</v>
      </c>
      <c r="V423" t="s">
        <v>33</v>
      </c>
      <c r="W423" t="s">
        <v>1823</v>
      </c>
      <c r="X423" t="str">
        <f>HYPERLINK("https://images.diginfra.net/framed3.html?imagesetuuid=a23b748e-13e4-4409-800c-fc316cd23dec&amp;uri=https://images.diginfra.net/iiif/NL-HaNA_1.01.02/3843/NL-HaNA_1.01.02_3843_0154.jpg", "prev_meeting_viewer_url")</f>
        <v>prev_meeting_viewer_url</v>
      </c>
      <c r="Y423" t="str">
        <f>HYPERLINK("https://images.diginfra.net/iiif/NL-HaNA_1.01.02/3843/NL-HaNA_1.01.02_3843_0154.jpg/2392,1050,1073,2411/full/0/default.jpg", "prev_meeting_iiif_url")</f>
        <v>prev_meeting_iiif_url</v>
      </c>
      <c r="Z423" t="s">
        <v>33</v>
      </c>
      <c r="AA423" t="s">
        <v>1824</v>
      </c>
      <c r="AB423" t="str">
        <f>HYPERLINK("https://images.diginfra.net/framed3.html?imagesetuuid=a23b748e-13e4-4409-800c-fc316cd23dec&amp;uri=https://images.diginfra.net/iiif/NL-HaNA_1.01.02/3843/NL-HaNA_1.01.02_3843_0157.jpg", "next_meeting_viewer_url")</f>
        <v>next_meeting_viewer_url</v>
      </c>
      <c r="AC423" t="str">
        <f>HYPERLINK("https://images.diginfra.net/iiif/NL-HaNA_1.01.02/3843/NL-HaNA_1.01.02_3843_0157.jpg/1190,981,1101,2452/full/0/default.jpg", "next_meeting_iiif_url")</f>
        <v>next_meeting_iiif_url</v>
      </c>
    </row>
    <row r="424" spans="1:29" x14ac:dyDescent="0.2">
      <c r="A424" t="s">
        <v>1825</v>
      </c>
      <c r="B424" t="s">
        <v>48</v>
      </c>
      <c r="C424" t="s">
        <v>1826</v>
      </c>
      <c r="D424" t="b">
        <v>1</v>
      </c>
      <c r="E424" t="b">
        <v>1</v>
      </c>
      <c r="I424" t="s">
        <v>1827</v>
      </c>
      <c r="J424">
        <v>3769</v>
      </c>
      <c r="K424">
        <v>308</v>
      </c>
      <c r="L424">
        <v>367</v>
      </c>
      <c r="M424">
        <v>792</v>
      </c>
      <c r="N424">
        <f t="shared" si="8"/>
        <v>616</v>
      </c>
      <c r="O424">
        <v>614</v>
      </c>
      <c r="P424">
        <v>0</v>
      </c>
      <c r="Q424">
        <v>1</v>
      </c>
      <c r="R424">
        <v>0</v>
      </c>
      <c r="S424" t="s">
        <v>33</v>
      </c>
      <c r="T424" t="str">
        <f>HYPERLINK("https://images.diginfra.net/framed3.html?imagesetuuid=bb249823-a699-4b97-863d-a74b3ce499f0&amp;uri=https://images.diginfra.net/iiif/NL-HaNA_1.01.02/3769/NL-HaNA_1.01.02_3769_0308.jpg", "viewer_url")</f>
        <v>viewer_url</v>
      </c>
      <c r="U424" t="str">
        <f>HYPERLINK("https://images.diginfra.net/iiif/NL-HaNA_1.01.02/3769/NL-HaNA_1.01.02_3769_0308.jpg/367,792,917,2559/full/0/default.jpg", "iiif_url")</f>
        <v>iiif_url</v>
      </c>
      <c r="V424" t="s">
        <v>33</v>
      </c>
      <c r="W424" t="s">
        <v>1828</v>
      </c>
      <c r="X424" t="str">
        <f>HYPERLINK("https://images.diginfra.net/framed3.html?imagesetuuid=bb249823-a699-4b97-863d-a74b3ce499f0&amp;uri=https://images.diginfra.net/iiif/NL-HaNA_1.01.02/3769/NL-HaNA_1.01.02_3769_0307.jpg", "prev_meeting_viewer_url")</f>
        <v>prev_meeting_viewer_url</v>
      </c>
      <c r="Y424" t="str">
        <f>HYPERLINK("https://images.diginfra.net/iiif/NL-HaNA_1.01.02/3769/NL-HaNA_1.01.02_3769_0307.jpg/250,2934,1002,468/full/0/default.jpg", "prev_meeting_iiif_url")</f>
        <v>prev_meeting_iiif_url</v>
      </c>
      <c r="Z424" t="s">
        <v>33</v>
      </c>
      <c r="AA424" t="s">
        <v>1829</v>
      </c>
      <c r="AB424" t="str">
        <f>HYPERLINK("https://images.diginfra.net/framed3.html?imagesetuuid=bb249823-a699-4b97-863d-a74b3ce499f0&amp;uri=https://images.diginfra.net/iiif/NL-HaNA_1.01.02/3769/NL-HaNA_1.01.02_3769_0310.jpg", "next_meeting_viewer_url")</f>
        <v>next_meeting_viewer_url</v>
      </c>
      <c r="AC424" t="str">
        <f>HYPERLINK("https://images.diginfra.net/iiif/NL-HaNA_1.01.02/3769/NL-HaNA_1.01.02_3769_0310.jpg/3420,1125,1109,2274/full/0/default.jpg", "next_meeting_iiif_url")</f>
        <v>next_meeting_iiif_url</v>
      </c>
    </row>
    <row r="425" spans="1:29" x14ac:dyDescent="0.2">
      <c r="A425" t="s">
        <v>1830</v>
      </c>
      <c r="B425" t="s">
        <v>48</v>
      </c>
      <c r="C425" t="s">
        <v>1831</v>
      </c>
      <c r="D425" t="b">
        <v>1</v>
      </c>
      <c r="E425" t="b">
        <v>1</v>
      </c>
      <c r="I425" t="s">
        <v>1832</v>
      </c>
      <c r="J425">
        <v>3784</v>
      </c>
      <c r="K425">
        <v>339</v>
      </c>
      <c r="L425">
        <v>2533</v>
      </c>
      <c r="M425">
        <v>3192</v>
      </c>
      <c r="N425">
        <f t="shared" si="8"/>
        <v>678</v>
      </c>
      <c r="O425">
        <v>677</v>
      </c>
      <c r="P425">
        <v>0</v>
      </c>
      <c r="Q425">
        <v>3</v>
      </c>
      <c r="R425">
        <v>0</v>
      </c>
      <c r="S425" t="s">
        <v>33</v>
      </c>
      <c r="T425" t="str">
        <f>HYPERLINK("https://images.diginfra.net/framed3.html?imagesetuuid=cb2f6e2d-502d-41d8-a51c-455c64ed98c9&amp;uri=https://images.diginfra.net/iiif/NL-HaNA_1.01.02/3784/NL-HaNA_1.01.02_3784_0339.jpg", "viewer_url")</f>
        <v>viewer_url</v>
      </c>
      <c r="U425" t="str">
        <f>HYPERLINK("https://images.diginfra.net/iiif/NL-HaNA_1.01.02/3784/NL-HaNA_1.01.02_3784_0339.jpg/2533,3192,653,180/full/0/default.jpg", "iiif_url")</f>
        <v>iiif_url</v>
      </c>
      <c r="V425" t="s">
        <v>33</v>
      </c>
      <c r="W425" t="s">
        <v>1833</v>
      </c>
      <c r="X425" t="str">
        <f>HYPERLINK("https://images.diginfra.net/framed3.html?imagesetuuid=cb2f6e2d-502d-41d8-a51c-455c64ed98c9&amp;uri=https://images.diginfra.net/iiif/NL-HaNA_1.01.02/3784/NL-HaNA_1.01.02_3784_0339.jpg", "prev_meeting_viewer_url")</f>
        <v>prev_meeting_viewer_url</v>
      </c>
      <c r="Y425" t="str">
        <f>HYPERLINK("https://images.diginfra.net/iiif/NL-HaNA_1.01.02/3784/NL-HaNA_1.01.02_3784_0339.jpg/217,339,1104,3103/full/0/default.jpg", "prev_meeting_iiif_url")</f>
        <v>prev_meeting_iiif_url</v>
      </c>
      <c r="Z425" t="s">
        <v>33</v>
      </c>
      <c r="AA425" t="s">
        <v>1834</v>
      </c>
      <c r="AB425" t="str">
        <f>HYPERLINK("https://images.diginfra.net/framed3.html?imagesetuuid=cb2f6e2d-502d-41d8-a51c-455c64ed98c9&amp;uri=https://images.diginfra.net/iiif/NL-HaNA_1.01.02/3784/NL-HaNA_1.01.02_3784_0343.jpg", "next_meeting_viewer_url")</f>
        <v>next_meeting_viewer_url</v>
      </c>
      <c r="AC425" t="str">
        <f>HYPERLINK("https://images.diginfra.net/iiif/NL-HaNA_1.01.02/3784/NL-HaNA_1.01.02_3784_0343.jpg/316,2483,1022,888/full/0/default.jpg", "next_meeting_iiif_url")</f>
        <v>next_meeting_iiif_url</v>
      </c>
    </row>
    <row r="426" spans="1:29" x14ac:dyDescent="0.2">
      <c r="A426" t="s">
        <v>1835</v>
      </c>
      <c r="B426" t="s">
        <v>30</v>
      </c>
      <c r="C426" t="s">
        <v>1836</v>
      </c>
      <c r="D426" t="b">
        <v>1</v>
      </c>
      <c r="E426" t="b">
        <v>1</v>
      </c>
      <c r="I426" t="s">
        <v>1837</v>
      </c>
      <c r="J426">
        <v>3819</v>
      </c>
      <c r="K426">
        <v>362</v>
      </c>
      <c r="L426">
        <v>332</v>
      </c>
      <c r="M426">
        <v>784</v>
      </c>
      <c r="N426">
        <f t="shared" si="8"/>
        <v>724</v>
      </c>
      <c r="O426">
        <v>722</v>
      </c>
      <c r="P426">
        <v>0</v>
      </c>
      <c r="Q426">
        <v>1</v>
      </c>
      <c r="R426">
        <v>0</v>
      </c>
      <c r="S426" t="s">
        <v>33</v>
      </c>
      <c r="T426" t="str">
        <f>HYPERLINK("https://images.diginfra.net/framed3.html?imagesetuuid=711b4f86-3dbd-47ca-af9d-52eb1c30bc58&amp;uri=https://images.diginfra.net/iiif/NL-HaNA_1.01.02/3819/NL-HaNA_1.01.02_3819_0362.jpg", "viewer_url")</f>
        <v>viewer_url</v>
      </c>
      <c r="U426" t="str">
        <f>HYPERLINK("https://images.diginfra.net/iiif/NL-HaNA_1.01.02/3819/NL-HaNA_1.01.02_3819_0362.jpg/332,784,925,2462/full/0/default.jpg", "iiif_url")</f>
        <v>iiif_url</v>
      </c>
      <c r="V426" t="s">
        <v>33</v>
      </c>
      <c r="W426" t="s">
        <v>1838</v>
      </c>
      <c r="X426" t="str">
        <f>HYPERLINK("https://images.diginfra.net/framed3.html?imagesetuuid=711b4f86-3dbd-47ca-af9d-52eb1c30bc58&amp;uri=https://images.diginfra.net/iiif/NL-HaNA_1.01.02/3819/NL-HaNA_1.01.02_3819_0360.jpg", "prev_meeting_viewer_url")</f>
        <v>prev_meeting_viewer_url</v>
      </c>
      <c r="Y426" t="str">
        <f>HYPERLINK("https://images.diginfra.net/iiif/NL-HaNA_1.01.02/3819/NL-HaNA_1.01.02_3819_0360.jpg/3515,2757,821,568/full/0/default.jpg", "prev_meeting_iiif_url")</f>
        <v>prev_meeting_iiif_url</v>
      </c>
      <c r="Z426" t="s">
        <v>33</v>
      </c>
      <c r="AA426" t="s">
        <v>1839</v>
      </c>
      <c r="AB426" t="str">
        <f>HYPERLINK("https://images.diginfra.net/framed3.html?imagesetuuid=711b4f86-3dbd-47ca-af9d-52eb1c30bc58&amp;uri=https://images.diginfra.net/iiif/NL-HaNA_1.01.02/3819/NL-HaNA_1.01.02_3819_0364.jpg", "next_meeting_viewer_url")</f>
        <v>next_meeting_viewer_url</v>
      </c>
      <c r="AC426" t="str">
        <f>HYPERLINK("https://images.diginfra.net/iiif/NL-HaNA_1.01.02/3819/NL-HaNA_1.01.02_3819_0364.jpg/256,1085,1082,2289/full/0/default.jpg", "next_meeting_iiif_url")</f>
        <v>next_meeting_iiif_url</v>
      </c>
    </row>
    <row r="427" spans="1:29" x14ac:dyDescent="0.2">
      <c r="A427" t="s">
        <v>1840</v>
      </c>
      <c r="B427" t="s">
        <v>79</v>
      </c>
      <c r="C427" t="s">
        <v>1841</v>
      </c>
      <c r="D427" t="b">
        <v>1</v>
      </c>
      <c r="E427" t="b">
        <v>1</v>
      </c>
      <c r="I427" t="s">
        <v>1842</v>
      </c>
      <c r="J427">
        <v>3797</v>
      </c>
      <c r="K427">
        <v>407</v>
      </c>
      <c r="L427">
        <v>2518</v>
      </c>
      <c r="M427">
        <v>2000</v>
      </c>
      <c r="N427">
        <f t="shared" si="8"/>
        <v>814</v>
      </c>
      <c r="O427">
        <v>813</v>
      </c>
      <c r="P427">
        <v>1</v>
      </c>
      <c r="Q427">
        <v>2</v>
      </c>
      <c r="R427">
        <v>0</v>
      </c>
      <c r="S427" t="s">
        <v>33</v>
      </c>
      <c r="T427" t="str">
        <f>HYPERLINK("https://images.diginfra.net/framed3.html?imagesetuuid=02516f87-475f-4001-a332-8d96f5aecb93&amp;uri=https://images.diginfra.net/iiif/NL-HaNA_1.01.02/3797/NL-HaNA_1.01.02_3797_0407.jpg", "viewer_url")</f>
        <v>viewer_url</v>
      </c>
      <c r="U427" t="str">
        <f>HYPERLINK("https://images.diginfra.net/iiif/NL-HaNA_1.01.02/3797/NL-HaNA_1.01.02_3797_0407.jpg/2518,2000,1812,1343/full/0/default.jpg", "iiif_url")</f>
        <v>iiif_url</v>
      </c>
      <c r="V427" t="s">
        <v>33</v>
      </c>
      <c r="W427" t="s">
        <v>1843</v>
      </c>
      <c r="X427" t="str">
        <f>HYPERLINK("https://images.diginfra.net/framed3.html?imagesetuuid=02516f87-475f-4001-a332-8d96f5aecb93&amp;uri=https://images.diginfra.net/iiif/NL-HaNA_1.01.02/3797/NL-HaNA_1.01.02_3797_0406.jpg", "prev_meeting_viewer_url")</f>
        <v>prev_meeting_viewer_url</v>
      </c>
      <c r="Y427" t="str">
        <f>HYPERLINK("https://images.diginfra.net/iiif/NL-HaNA_1.01.02/3797/NL-HaNA_1.01.02_3797_0406.jpg/2467,2242,1045,1097/full/0/default.jpg", "prev_meeting_iiif_url")</f>
        <v>prev_meeting_iiif_url</v>
      </c>
      <c r="Z427" t="s">
        <v>33</v>
      </c>
      <c r="AA427" t="s">
        <v>1844</v>
      </c>
      <c r="AB427" t="str">
        <f>HYPERLINK("https://images.diginfra.net/framed3.html?imagesetuuid=02516f87-475f-4001-a332-8d96f5aecb93&amp;uri=https://images.diginfra.net/iiif/NL-HaNA_1.01.02/3797/NL-HaNA_1.01.02_3797_0409.jpg", "next_meeting_viewer_url")</f>
        <v>next_meeting_viewer_url</v>
      </c>
      <c r="AC427" t="str">
        <f>HYPERLINK("https://images.diginfra.net/iiif/NL-HaNA_1.01.02/3797/NL-HaNA_1.01.02_3797_0409.jpg/2443,1532,1091,1827/full/0/default.jpg", "next_meeting_iiif_url")</f>
        <v>next_meeting_iiif_url</v>
      </c>
    </row>
    <row r="428" spans="1:29" x14ac:dyDescent="0.2">
      <c r="A428" t="s">
        <v>1845</v>
      </c>
      <c r="B428" t="s">
        <v>30</v>
      </c>
      <c r="D428" t="b">
        <v>1</v>
      </c>
      <c r="E428" t="b">
        <v>1</v>
      </c>
      <c r="I428" t="s">
        <v>1846</v>
      </c>
      <c r="J428">
        <v>3809</v>
      </c>
      <c r="K428">
        <v>112</v>
      </c>
      <c r="L428">
        <v>1549</v>
      </c>
      <c r="M428">
        <v>3107</v>
      </c>
      <c r="N428">
        <f t="shared" si="8"/>
        <v>224</v>
      </c>
      <c r="O428">
        <v>223</v>
      </c>
      <c r="P428">
        <v>0</v>
      </c>
      <c r="Q428">
        <v>0</v>
      </c>
      <c r="R428">
        <v>0</v>
      </c>
      <c r="S428" t="s">
        <v>33</v>
      </c>
      <c r="T428" t="str">
        <f>HYPERLINK("https://images.diginfra.net/framed3.html?imagesetuuid=a1722cc0-6172-4f06-b30b-cbaf0702bf4b&amp;uri=https://images.diginfra.net/iiif/NL-HaNA_1.01.02/3809/NL-HaNA_1.01.02_3809_0112.jpg", "viewer_url")</f>
        <v>viewer_url</v>
      </c>
      <c r="U428" t="str">
        <f>HYPERLINK("https://images.diginfra.net/iiif/NL-HaNA_1.01.02/3809/NL-HaNA_1.01.02_3809_0112.jpg/1549,3107,628,132/full/0/default.jpg", "iiif_url")</f>
        <v>iiif_url</v>
      </c>
      <c r="V428" t="s">
        <v>33</v>
      </c>
      <c r="W428" t="s">
        <v>1847</v>
      </c>
      <c r="X428" t="str">
        <f>HYPERLINK("https://images.diginfra.net/framed3.html?imagesetuuid=a1722cc0-6172-4f06-b30b-cbaf0702bf4b&amp;uri=https://images.diginfra.net/iiif/NL-HaNA_1.01.02/3809/NL-HaNA_1.01.02_3809_0110.jpg", "prev_meeting_viewer_url")</f>
        <v>prev_meeting_viewer_url</v>
      </c>
      <c r="Y428" t="str">
        <f>HYPERLINK("https://images.diginfra.net/iiif/NL-HaNA_1.01.02/3809/NL-HaNA_1.01.02_3809_0110.jpg/1312,1035,1110,2328/full/0/default.jpg", "prev_meeting_iiif_url")</f>
        <v>prev_meeting_iiif_url</v>
      </c>
      <c r="Z428" t="s">
        <v>33</v>
      </c>
      <c r="AA428" t="s">
        <v>1848</v>
      </c>
      <c r="AB428" t="str">
        <f>HYPERLINK("https://images.diginfra.net/framed3.html?imagesetuuid=a1722cc0-6172-4f06-b30b-cbaf0702bf4b&amp;uri=https://images.diginfra.net/iiif/NL-HaNA_1.01.02/3809/NL-HaNA_1.01.02_3809_0113.jpg", "next_meeting_viewer_url")</f>
        <v>next_meeting_viewer_url</v>
      </c>
      <c r="AC428" t="str">
        <f>HYPERLINK("https://images.diginfra.net/iiif/NL-HaNA_1.01.02/3809/NL-HaNA_1.01.02_3809_0113.jpg/1404,2993,880,263/full/0/default.jpg", "next_meeting_iiif_url")</f>
        <v>next_meeting_iiif_url</v>
      </c>
    </row>
    <row r="429" spans="1:29" x14ac:dyDescent="0.2">
      <c r="A429" t="s">
        <v>1849</v>
      </c>
      <c r="B429" t="s">
        <v>37</v>
      </c>
      <c r="C429" t="s">
        <v>1850</v>
      </c>
      <c r="D429" t="b">
        <v>1</v>
      </c>
      <c r="E429" t="b">
        <v>1</v>
      </c>
      <c r="I429" t="s">
        <v>1851</v>
      </c>
      <c r="J429">
        <v>3767</v>
      </c>
      <c r="K429">
        <v>536</v>
      </c>
      <c r="L429">
        <v>465</v>
      </c>
      <c r="M429">
        <v>2822</v>
      </c>
      <c r="N429">
        <f t="shared" si="8"/>
        <v>1072</v>
      </c>
      <c r="O429">
        <v>1070</v>
      </c>
      <c r="P429">
        <v>0</v>
      </c>
      <c r="Q429">
        <v>3</v>
      </c>
      <c r="R429">
        <v>0</v>
      </c>
      <c r="S429" t="s">
        <v>33</v>
      </c>
      <c r="T429" t="str">
        <f>HYPERLINK("https://images.diginfra.net/framed3.html?imagesetuuid=1dfc3e45-daeb-4e8d-b5c8-e02b6196102c&amp;uri=https://images.diginfra.net/iiif/NL-HaNA_1.01.02/3767/NL-HaNA_1.01.02_3767_0536.jpg", "viewer_url")</f>
        <v>viewer_url</v>
      </c>
      <c r="U429" t="str">
        <f>HYPERLINK("https://images.diginfra.net/iiif/NL-HaNA_1.01.02/3767/NL-HaNA_1.01.02_3767_0536.jpg/465,2822,862,375/full/0/default.jpg", "iiif_url")</f>
        <v>iiif_url</v>
      </c>
      <c r="V429" t="s">
        <v>33</v>
      </c>
      <c r="W429" t="s">
        <v>1852</v>
      </c>
      <c r="X429" t="str">
        <f>HYPERLINK("https://images.diginfra.net/framed3.html?imagesetuuid=1dfc3e45-daeb-4e8d-b5c8-e02b6196102c&amp;uri=https://images.diginfra.net/iiif/NL-HaNA_1.01.02/3767/NL-HaNA_1.01.02_3767_0534.jpg", "prev_meeting_viewer_url")</f>
        <v>prev_meeting_viewer_url</v>
      </c>
      <c r="Y429" t="str">
        <f>HYPERLINK("https://images.diginfra.net/iiif/NL-HaNA_1.01.02/3767/NL-HaNA_1.01.02_3767_0534.jpg/1372,2173,1050,1199/full/0/default.jpg", "prev_meeting_iiif_url")</f>
        <v>prev_meeting_iiif_url</v>
      </c>
      <c r="Z429" t="s">
        <v>33</v>
      </c>
      <c r="AA429" t="s">
        <v>1833</v>
      </c>
      <c r="AB429" t="str">
        <f>HYPERLINK("https://images.diginfra.net/framed3.html?imagesetuuid=1dfc3e45-daeb-4e8d-b5c8-e02b6196102c&amp;uri=https://images.diginfra.net/iiif/NL-HaNA_1.01.02/3767/NL-HaNA_1.01.02_3767_0538.jpg", "next_meeting_viewer_url")</f>
        <v>next_meeting_viewer_url</v>
      </c>
      <c r="AC429" t="str">
        <f>HYPERLINK("https://images.diginfra.net/iiif/NL-HaNA_1.01.02/3767/NL-HaNA_1.01.02_3767_0538.jpg/1315,608,1134,2766/full/0/default.jpg", "next_meeting_iiif_url")</f>
        <v>next_meeting_iiif_url</v>
      </c>
    </row>
    <row r="430" spans="1:29" x14ac:dyDescent="0.2">
      <c r="A430" t="s">
        <v>1853</v>
      </c>
      <c r="B430" t="s">
        <v>59</v>
      </c>
      <c r="C430" t="s">
        <v>1854</v>
      </c>
      <c r="D430" t="b">
        <v>1</v>
      </c>
      <c r="E430" t="b">
        <v>1</v>
      </c>
      <c r="I430" t="s">
        <v>1855</v>
      </c>
      <c r="J430">
        <v>3774</v>
      </c>
      <c r="K430">
        <v>237</v>
      </c>
      <c r="L430">
        <v>1459</v>
      </c>
      <c r="M430">
        <v>2482</v>
      </c>
      <c r="N430">
        <f t="shared" si="8"/>
        <v>474</v>
      </c>
      <c r="O430">
        <v>472</v>
      </c>
      <c r="P430">
        <v>1</v>
      </c>
      <c r="Q430">
        <v>3</v>
      </c>
      <c r="R430">
        <v>0</v>
      </c>
      <c r="S430" t="s">
        <v>33</v>
      </c>
      <c r="T430" t="str">
        <f>HYPERLINK("https://images.diginfra.net/framed3.html?imagesetuuid=a94d24a1-7932-4b81-a3e6-04161d471ec1&amp;uri=https://images.diginfra.net/iiif/NL-HaNA_1.01.02/3774/NL-HaNA_1.01.02_3774_0237.jpg", "viewer_url")</f>
        <v>viewer_url</v>
      </c>
      <c r="U430" t="str">
        <f>HYPERLINK("https://images.diginfra.net/iiif/NL-HaNA_1.01.02/3774/NL-HaNA_1.01.02_3774_0237.jpg/1459,2482,855,812/full/0/default.jpg", "iiif_url")</f>
        <v>iiif_url</v>
      </c>
      <c r="V430" t="s">
        <v>33</v>
      </c>
      <c r="W430" t="s">
        <v>1856</v>
      </c>
      <c r="X430" t="str">
        <f>HYPERLINK("https://images.diginfra.net/framed3.html?imagesetuuid=a94d24a1-7932-4b81-a3e6-04161d471ec1&amp;uri=https://images.diginfra.net/iiif/NL-HaNA_1.01.02/3774/NL-HaNA_1.01.02_3774_0235.jpg", "prev_meeting_viewer_url")</f>
        <v>prev_meeting_viewer_url</v>
      </c>
      <c r="Y430" t="str">
        <f>HYPERLINK("https://images.diginfra.net/iiif/NL-HaNA_1.01.02/3774/NL-HaNA_1.01.02_3774_0235.jpg/3452,1783,1089,1576/full/0/default.jpg", "prev_meeting_iiif_url")</f>
        <v>prev_meeting_iiif_url</v>
      </c>
      <c r="Z430" t="s">
        <v>33</v>
      </c>
      <c r="AA430" t="s">
        <v>1857</v>
      </c>
      <c r="AB430" t="str">
        <f>HYPERLINK("https://images.diginfra.net/framed3.html?imagesetuuid=a94d24a1-7932-4b81-a3e6-04161d471ec1&amp;uri=https://images.diginfra.net/iiif/NL-HaNA_1.01.02/3774/NL-HaNA_1.01.02_3774_0239.jpg", "next_meeting_viewer_url")</f>
        <v>next_meeting_viewer_url</v>
      </c>
      <c r="AC430" t="str">
        <f>HYPERLINK("https://images.diginfra.net/iiif/NL-HaNA_1.01.02/3774/NL-HaNA_1.01.02_3774_0239.jpg/3486,2287,1039,1093/full/0/default.jpg", "next_meeting_iiif_url")</f>
        <v>next_meeting_iiif_url</v>
      </c>
    </row>
    <row r="431" spans="1:29" x14ac:dyDescent="0.2">
      <c r="A431" t="s">
        <v>1858</v>
      </c>
      <c r="B431" t="s">
        <v>79</v>
      </c>
      <c r="C431" t="s">
        <v>1859</v>
      </c>
      <c r="D431" t="b">
        <v>1</v>
      </c>
      <c r="E431" t="b">
        <v>1</v>
      </c>
      <c r="I431" t="s">
        <v>1860</v>
      </c>
      <c r="J431">
        <v>3825</v>
      </c>
      <c r="K431">
        <v>463</v>
      </c>
      <c r="L431">
        <v>2496</v>
      </c>
      <c r="M431">
        <v>2241</v>
      </c>
      <c r="N431">
        <f t="shared" si="8"/>
        <v>926</v>
      </c>
      <c r="O431">
        <v>925</v>
      </c>
      <c r="P431">
        <v>0</v>
      </c>
      <c r="Q431">
        <v>1</v>
      </c>
      <c r="R431">
        <v>35</v>
      </c>
      <c r="S431" t="s">
        <v>33</v>
      </c>
      <c r="T431" t="str">
        <f>HYPERLINK("https://images.diginfra.net/framed3.html?imagesetuuid=3e55157c-ed48-4a0c-b4a9-bb205866d7cd&amp;uri=https://images.diginfra.net/iiif/NL-HaNA_1.01.02/3825/NL-HaNA_1.01.02_3825_0463.jpg", "viewer_url")</f>
        <v>viewer_url</v>
      </c>
      <c r="U431" t="str">
        <f>HYPERLINK("https://images.diginfra.net/iiif/NL-HaNA_1.01.02/3825/NL-HaNA_1.01.02_3825_0463.jpg/2496,2241,886,986/full/0/default.jpg", "iiif_url")</f>
        <v>iiif_url</v>
      </c>
      <c r="V431" t="s">
        <v>33</v>
      </c>
      <c r="W431" t="s">
        <v>1861</v>
      </c>
      <c r="X431" t="str">
        <f>HYPERLINK("https://images.diginfra.net/framed3.html?imagesetuuid=3e55157c-ed48-4a0c-b4a9-bb205866d7cd&amp;uri=https://images.diginfra.net/iiif/NL-HaNA_1.01.02/3825/NL-HaNA_1.01.02_3825_0462.jpg", "prev_meeting_viewer_url")</f>
        <v>prev_meeting_viewer_url</v>
      </c>
      <c r="Y431" t="str">
        <f>HYPERLINK("https://images.diginfra.net/iiif/NL-HaNA_1.01.02/3825/NL-HaNA_1.01.02_3825_0462.jpg/1274,2489,1022,750/full/0/default.jpg", "prev_meeting_iiif_url")</f>
        <v>prev_meeting_iiif_url</v>
      </c>
      <c r="Z431" t="s">
        <v>33</v>
      </c>
      <c r="AA431" t="s">
        <v>1862</v>
      </c>
      <c r="AB431" t="str">
        <f>HYPERLINK("https://images.diginfra.net/framed3.html?imagesetuuid=3e55157c-ed48-4a0c-b4a9-bb205866d7cd&amp;uri=https://images.diginfra.net/iiif/NL-HaNA_1.01.02/3825/NL-HaNA_1.01.02_3825_0464.jpg", "next_meeting_viewer_url")</f>
        <v>next_meeting_viewer_url</v>
      </c>
      <c r="AC431" t="str">
        <f>HYPERLINK("https://images.diginfra.net/iiif/NL-HaNA_1.01.02/3825/NL-HaNA_1.01.02_3825_0464.jpg/303,2632,1005,646/full/0/default.jpg", "next_meeting_iiif_url")</f>
        <v>next_meeting_iiif_url</v>
      </c>
    </row>
    <row r="432" spans="1:29" x14ac:dyDescent="0.2">
      <c r="A432" t="s">
        <v>1863</v>
      </c>
      <c r="B432" t="s">
        <v>85</v>
      </c>
      <c r="C432" t="s">
        <v>1864</v>
      </c>
      <c r="D432" t="b">
        <v>1</v>
      </c>
      <c r="E432" t="b">
        <v>1</v>
      </c>
      <c r="I432" t="s">
        <v>1865</v>
      </c>
      <c r="J432">
        <v>3834</v>
      </c>
      <c r="K432">
        <v>397</v>
      </c>
      <c r="L432">
        <v>1349</v>
      </c>
      <c r="M432">
        <v>3055</v>
      </c>
      <c r="N432">
        <f t="shared" si="8"/>
        <v>794</v>
      </c>
      <c r="O432">
        <v>792</v>
      </c>
      <c r="P432">
        <v>1</v>
      </c>
      <c r="Q432">
        <v>3</v>
      </c>
      <c r="R432">
        <v>0</v>
      </c>
      <c r="S432" t="s">
        <v>33</v>
      </c>
      <c r="T432" t="str">
        <f>HYPERLINK("https://images.diginfra.net/framed3.html?imagesetuuid=bf11cd8e-e3f4-444c-9caa-dcdfd20137d7&amp;uri=https://images.diginfra.net/iiif/NL-HaNA_1.01.02/3834/NL-HaNA_1.01.02_3834_0397.jpg", "viewer_url")</f>
        <v>viewer_url</v>
      </c>
      <c r="U432" t="str">
        <f>HYPERLINK("https://images.diginfra.net/iiif/NL-HaNA_1.01.02/3834/NL-HaNA_1.01.02_3834_0397.jpg/1349,3055,632,215/full/0/default.jpg", "iiif_url")</f>
        <v>iiif_url</v>
      </c>
      <c r="V432" t="s">
        <v>33</v>
      </c>
      <c r="W432" t="s">
        <v>1866</v>
      </c>
      <c r="X432" t="str">
        <f>HYPERLINK("https://images.diginfra.net/framed3.html?imagesetuuid=bf11cd8e-e3f4-444c-9caa-dcdfd20137d7&amp;uri=https://images.diginfra.net/iiif/NL-HaNA_1.01.02/3834/NL-HaNA_1.01.02_3834_0396.jpg", "prev_meeting_viewer_url")</f>
        <v>prev_meeting_viewer_url</v>
      </c>
      <c r="Y432" t="str">
        <f>HYPERLINK("https://images.diginfra.net/iiif/NL-HaNA_1.01.02/3834/NL-HaNA_1.01.02_3834_0396.jpg/1244,985,1106,2405/full/0/default.jpg", "prev_meeting_iiif_url")</f>
        <v>prev_meeting_iiif_url</v>
      </c>
      <c r="Z432" t="s">
        <v>33</v>
      </c>
      <c r="AA432" t="s">
        <v>1867</v>
      </c>
      <c r="AB432" t="str">
        <f>HYPERLINK("https://images.diginfra.net/framed3.html?imagesetuuid=bf11cd8e-e3f4-444c-9caa-dcdfd20137d7&amp;uri=https://images.diginfra.net/iiif/NL-HaNA_1.01.02/3834/NL-HaNA_1.01.02_3834_0399.jpg", "next_meeting_viewer_url")</f>
        <v>next_meeting_viewer_url</v>
      </c>
      <c r="AC432" t="str">
        <f>HYPERLINK("https://images.diginfra.net/iiif/NL-HaNA_1.01.02/3834/NL-HaNA_1.01.02_3834_0399.jpg/3321,1415,1081,2014/full/0/default.jpg", "next_meeting_iiif_url")</f>
        <v>next_meeting_iiif_url</v>
      </c>
    </row>
    <row r="433" spans="1:29" x14ac:dyDescent="0.2">
      <c r="A433" t="s">
        <v>1868</v>
      </c>
      <c r="B433" t="s">
        <v>79</v>
      </c>
      <c r="D433" t="b">
        <v>1</v>
      </c>
      <c r="E433" t="b">
        <v>1</v>
      </c>
      <c r="I433" t="s">
        <v>1869</v>
      </c>
      <c r="J433">
        <v>3856</v>
      </c>
      <c r="K433">
        <v>124</v>
      </c>
      <c r="L433">
        <v>2418</v>
      </c>
      <c r="M433">
        <v>813</v>
      </c>
      <c r="N433">
        <f t="shared" si="8"/>
        <v>248</v>
      </c>
      <c r="O433">
        <v>246</v>
      </c>
      <c r="P433">
        <v>1</v>
      </c>
      <c r="Q433">
        <v>1</v>
      </c>
      <c r="R433">
        <v>10</v>
      </c>
      <c r="S433" t="s">
        <v>33</v>
      </c>
      <c r="T433" t="str">
        <f>HYPERLINK("https://images.diginfra.net/framed3.html?imagesetuuid=eefad0ef-c5b6-4672-8a4e-c123198eddbf&amp;uri=https://images.diginfra.net/iiif/NL-HaNA_1.01.02/3856/NL-HaNA_1.01.02_3856_0124.jpg", "viewer_url")</f>
        <v>viewer_url</v>
      </c>
      <c r="U433" t="str">
        <f>HYPERLINK("https://images.diginfra.net/iiif/NL-HaNA_1.01.02/3856/NL-HaNA_1.01.02_3856_0124.jpg/2418,813,895,2530/full/0/default.jpg", "iiif_url")</f>
        <v>iiif_url</v>
      </c>
      <c r="V433" t="s">
        <v>33</v>
      </c>
      <c r="W433" t="s">
        <v>1870</v>
      </c>
      <c r="X433" t="str">
        <f>HYPERLINK("https://images.diginfra.net/framed3.html?imagesetuuid=eefad0ef-c5b6-4672-8a4e-c123198eddbf&amp;uri=https://images.diginfra.net/iiif/NL-HaNA_1.01.02/3856/NL-HaNA_1.01.02_3856_0121.jpg", "prev_meeting_viewer_url")</f>
        <v>prev_meeting_viewer_url</v>
      </c>
      <c r="Y433" t="str">
        <f>HYPERLINK("https://images.diginfra.net/iiif/NL-HaNA_1.01.02/3856/NL-HaNA_1.01.02_3856_0121.jpg/2331,1260,1071,2242/full/0/default.jpg", "prev_meeting_iiif_url")</f>
        <v>prev_meeting_iiif_url</v>
      </c>
      <c r="Z433" t="s">
        <v>33</v>
      </c>
      <c r="AA433" t="s">
        <v>1871</v>
      </c>
      <c r="AB433" t="str">
        <f>HYPERLINK("https://images.diginfra.net/framed3.html?imagesetuuid=eefad0ef-c5b6-4672-8a4e-c123198eddbf&amp;uri=https://images.diginfra.net/iiif/NL-HaNA_1.01.02/3856/NL-HaNA_1.01.02_3856_0125.jpg", "next_meeting_viewer_url")</f>
        <v>next_meeting_viewer_url</v>
      </c>
      <c r="AC433" t="str">
        <f>HYPERLINK("https://images.diginfra.net/iiif/NL-HaNA_1.01.02/3856/NL-HaNA_1.01.02_3856_0125.jpg/1310,2480,1017,886/full/0/default.jpg", "next_meeting_iiif_url")</f>
        <v>next_meeting_iiif_url</v>
      </c>
    </row>
    <row r="434" spans="1:29" x14ac:dyDescent="0.2">
      <c r="A434" t="s">
        <v>1872</v>
      </c>
      <c r="B434" t="s">
        <v>85</v>
      </c>
      <c r="D434" t="b">
        <v>1</v>
      </c>
      <c r="E434" t="b">
        <v>0</v>
      </c>
      <c r="L434">
        <v>3296</v>
      </c>
      <c r="M434">
        <v>1394</v>
      </c>
      <c r="N434">
        <f t="shared" si="8"/>
        <v>0</v>
      </c>
      <c r="T434" t="str">
        <f>HYPERLINK("None", "viewer_url")</f>
        <v>viewer_url</v>
      </c>
      <c r="U434" t="str">
        <f>HYPERLINK("https://images.diginfra.net/iiif/NL-HaNA_1.01.02/3822/NL-HaNA_1.01.02_3822_0416.jpg/3296,1394,879,1900/full/0/default.jpg", "iiif_url")</f>
        <v>iiif_url</v>
      </c>
    </row>
    <row r="435" spans="1:29" x14ac:dyDescent="0.2">
      <c r="A435" t="s">
        <v>1873</v>
      </c>
      <c r="B435" t="s">
        <v>30</v>
      </c>
      <c r="C435" t="s">
        <v>1306</v>
      </c>
      <c r="D435" t="b">
        <v>1</v>
      </c>
      <c r="E435" t="b">
        <v>1</v>
      </c>
      <c r="I435" t="s">
        <v>1874</v>
      </c>
      <c r="J435">
        <v>3824</v>
      </c>
      <c r="K435">
        <v>198</v>
      </c>
      <c r="L435">
        <v>463</v>
      </c>
      <c r="M435">
        <v>2118</v>
      </c>
      <c r="N435">
        <f t="shared" si="8"/>
        <v>396</v>
      </c>
      <c r="O435">
        <v>394</v>
      </c>
      <c r="P435">
        <v>0</v>
      </c>
      <c r="Q435">
        <v>1</v>
      </c>
      <c r="R435">
        <v>0</v>
      </c>
      <c r="S435" t="s">
        <v>33</v>
      </c>
      <c r="T435" t="str">
        <f>HYPERLINK("https://images.diginfra.net/framed3.html?imagesetuuid=dd191040-86df-4eff-a597-814a829dbed3&amp;uri=https://images.diginfra.net/iiif/NL-HaNA_1.01.02/3824/NL-HaNA_1.01.02_3824_0198.jpg", "viewer_url")</f>
        <v>viewer_url</v>
      </c>
      <c r="U435" t="str">
        <f>HYPERLINK("https://images.diginfra.net/iiif/NL-HaNA_1.01.02/3824/NL-HaNA_1.01.02_3824_0198.jpg/463,2118,847,1164/full/0/default.jpg", "iiif_url")</f>
        <v>iiif_url</v>
      </c>
      <c r="V435" t="s">
        <v>33</v>
      </c>
      <c r="W435" t="s">
        <v>1875</v>
      </c>
      <c r="X435" t="str">
        <f>HYPERLINK("https://images.diginfra.net/framed3.html?imagesetuuid=dd191040-86df-4eff-a597-814a829dbed3&amp;uri=https://images.diginfra.net/iiif/NL-HaNA_1.01.02/3824/NL-HaNA_1.01.02_3824_0196.jpg", "prev_meeting_viewer_url")</f>
        <v>prev_meeting_viewer_url</v>
      </c>
      <c r="Y435" t="str">
        <f>HYPERLINK("https://images.diginfra.net/iiif/NL-HaNA_1.01.02/3824/NL-HaNA_1.01.02_3824_0196.jpg/311,681,1103,2714/full/0/default.jpg", "prev_meeting_iiif_url")</f>
        <v>prev_meeting_iiif_url</v>
      </c>
      <c r="Z435" t="s">
        <v>33</v>
      </c>
      <c r="AA435" t="s">
        <v>1876</v>
      </c>
      <c r="AB435" t="str">
        <f>HYPERLINK("https://images.diginfra.net/framed3.html?imagesetuuid=dd191040-86df-4eff-a597-814a829dbed3&amp;uri=https://images.diginfra.net/iiif/NL-HaNA_1.01.02/3824/NL-HaNA_1.01.02_3824_0205.jpg", "next_meeting_viewer_url")</f>
        <v>next_meeting_viewer_url</v>
      </c>
      <c r="AC435" t="str">
        <f>HYPERLINK("https://images.diginfra.net/iiif/NL-HaNA_1.01.02/3824/NL-HaNA_1.01.02_3824_0205.jpg/1275,2374,1110,951/full/0/default.jpg", "next_meeting_iiif_url")</f>
        <v>next_meeting_iiif_url</v>
      </c>
    </row>
    <row r="436" spans="1:29" x14ac:dyDescent="0.2">
      <c r="A436" t="s">
        <v>1877</v>
      </c>
      <c r="B436" t="s">
        <v>37</v>
      </c>
      <c r="C436" t="s">
        <v>1878</v>
      </c>
      <c r="D436" t="b">
        <v>1</v>
      </c>
      <c r="E436" t="b">
        <v>1</v>
      </c>
      <c r="I436" t="s">
        <v>1879</v>
      </c>
      <c r="J436">
        <v>3829</v>
      </c>
      <c r="K436">
        <v>199</v>
      </c>
      <c r="L436">
        <v>3417</v>
      </c>
      <c r="M436">
        <v>367</v>
      </c>
      <c r="N436">
        <f t="shared" si="8"/>
        <v>398</v>
      </c>
      <c r="O436">
        <v>397</v>
      </c>
      <c r="P436">
        <v>1</v>
      </c>
      <c r="Q436">
        <v>0</v>
      </c>
      <c r="R436">
        <v>0</v>
      </c>
      <c r="S436" t="s">
        <v>33</v>
      </c>
      <c r="T436" t="str">
        <f>HYPERLINK("https://images.diginfra.net/framed3.html?imagesetuuid=4a630f3a-34aa-4b1a-92d1-c32d4455e96f&amp;uri=https://images.diginfra.net/iiif/NL-HaNA_1.01.02/3829/NL-HaNA_1.01.02_3829_0199.jpg", "viewer_url")</f>
        <v>viewer_url</v>
      </c>
      <c r="U436" t="str">
        <f>HYPERLINK("https://images.diginfra.net/iiif/NL-HaNA_1.01.02/3829/NL-HaNA_1.01.02_3829_0199.jpg/3417,367,900,2801/full/0/default.jpg", "iiif_url")</f>
        <v>iiif_url</v>
      </c>
      <c r="V436" t="s">
        <v>33</v>
      </c>
      <c r="W436" t="s">
        <v>1880</v>
      </c>
      <c r="X436" t="str">
        <f>HYPERLINK("https://images.diginfra.net/framed3.html?imagesetuuid=4a630f3a-34aa-4b1a-92d1-c32d4455e96f&amp;uri=https://images.diginfra.net/iiif/NL-HaNA_1.01.02/3829/NL-HaNA_1.01.02_3829_0199.jpg", "prev_meeting_viewer_url")</f>
        <v>prev_meeting_viewer_url</v>
      </c>
      <c r="Y436" t="str">
        <f>HYPERLINK("https://images.diginfra.net/iiif/NL-HaNA_1.01.02/3829/NL-HaNA_1.01.02_3829_0199.jpg/1169,1354,1115,2020/full/0/default.jpg", "prev_meeting_iiif_url")</f>
        <v>prev_meeting_iiif_url</v>
      </c>
      <c r="Z436" t="s">
        <v>33</v>
      </c>
      <c r="AA436" t="s">
        <v>1881</v>
      </c>
      <c r="AB436" t="str">
        <f>HYPERLINK("https://images.diginfra.net/framed3.html?imagesetuuid=4a630f3a-34aa-4b1a-92d1-c32d4455e96f&amp;uri=https://images.diginfra.net/iiif/NL-HaNA_1.01.02/3829/NL-HaNA_1.01.02_3829_0202.jpg", "next_meeting_viewer_url")</f>
        <v>next_meeting_viewer_url</v>
      </c>
      <c r="AC436" t="str">
        <f>HYPERLINK("https://images.diginfra.net/iiif/NL-HaNA_1.01.02/3829/NL-HaNA_1.01.02_3829_0202.jpg/266,1870,1043,1474/full/0/default.jpg", "next_meeting_iiif_url")</f>
        <v>next_meeting_iiif_url</v>
      </c>
    </row>
    <row r="437" spans="1:29" x14ac:dyDescent="0.2">
      <c r="A437" t="s">
        <v>1882</v>
      </c>
      <c r="B437" t="s">
        <v>48</v>
      </c>
      <c r="C437" t="s">
        <v>1883</v>
      </c>
      <c r="D437" t="b">
        <v>1</v>
      </c>
      <c r="E437" t="b">
        <v>1</v>
      </c>
      <c r="I437" t="s">
        <v>1884</v>
      </c>
      <c r="J437">
        <v>3834</v>
      </c>
      <c r="K437">
        <v>454</v>
      </c>
      <c r="L437">
        <v>3464</v>
      </c>
      <c r="M437">
        <v>1828</v>
      </c>
      <c r="N437">
        <f t="shared" si="8"/>
        <v>908</v>
      </c>
      <c r="O437">
        <v>907</v>
      </c>
      <c r="P437">
        <v>1</v>
      </c>
      <c r="Q437">
        <v>0</v>
      </c>
      <c r="R437">
        <v>30</v>
      </c>
      <c r="S437" t="s">
        <v>33</v>
      </c>
      <c r="T437" t="str">
        <f>HYPERLINK("https://images.diginfra.net/framed3.html?imagesetuuid=bf11cd8e-e3f4-444c-9caa-dcdfd20137d7&amp;uri=https://images.diginfra.net/iiif/NL-HaNA_1.01.02/3834/NL-HaNA_1.01.02_3834_0454.jpg", "viewer_url")</f>
        <v>viewer_url</v>
      </c>
      <c r="U437" t="str">
        <f>HYPERLINK("https://images.diginfra.net/iiif/NL-HaNA_1.01.02/3834/NL-HaNA_1.01.02_3834_0454.jpg/3464,1828,895,1549/full/0/default.jpg", "iiif_url")</f>
        <v>iiif_url</v>
      </c>
      <c r="V437" t="s">
        <v>33</v>
      </c>
      <c r="W437" t="s">
        <v>1885</v>
      </c>
      <c r="X437" t="str">
        <f>HYPERLINK("https://images.diginfra.net/framed3.html?imagesetuuid=bf11cd8e-e3f4-444c-9caa-dcdfd20137d7&amp;uri=https://images.diginfra.net/iiif/NL-HaNA_1.01.02/3834/NL-HaNA_1.01.02_3834_0453.jpg", "prev_meeting_viewer_url")</f>
        <v>prev_meeting_viewer_url</v>
      </c>
      <c r="Y437" t="str">
        <f>HYPERLINK("https://images.diginfra.net/iiif/NL-HaNA_1.01.02/3834/NL-HaNA_1.01.02_3834_0453.jpg/2389,1708,1088,1785/full/0/default.jpg", "prev_meeting_iiif_url")</f>
        <v>prev_meeting_iiif_url</v>
      </c>
      <c r="Z437" t="s">
        <v>33</v>
      </c>
      <c r="AB437" t="str">
        <f>HYPERLINK("https://images.diginfra.net/framed3.html?imagesetuuid=bf11cd8e-e3f4-444c-9caa-dcdfd20137d7&amp;uri=https://images.diginfra.net/iiif/NL-HaNA_1.01.02/3834/NL-HaNA_1.01.02_3834_0458.jpg", "next_meeting_viewer_url")</f>
        <v>next_meeting_viewer_url</v>
      </c>
      <c r="AC437" t="str">
        <f>HYPERLINK("https://images.diginfra.net/iiif/NL-HaNA_1.01.02/3834/NL-HaNA_1.01.02_3834_0458.jpg/331,689,1074,2753/full/0/default.jpg", "next_meeting_iiif_url")</f>
        <v>next_meeting_iiif_url</v>
      </c>
    </row>
    <row r="438" spans="1:29" x14ac:dyDescent="0.2">
      <c r="A438" t="s">
        <v>1886</v>
      </c>
      <c r="B438" t="s">
        <v>79</v>
      </c>
      <c r="D438" t="b">
        <v>1</v>
      </c>
      <c r="E438" t="b">
        <v>0</v>
      </c>
      <c r="N438">
        <f t="shared" si="8"/>
        <v>0</v>
      </c>
      <c r="T438" t="str">
        <f>HYPERLINK("None", "viewer_url")</f>
        <v>viewer_url</v>
      </c>
      <c r="U438" t="str">
        <f>HYPERLINK("None", "iiif_url")</f>
        <v>iiif_url</v>
      </c>
      <c r="V438" t="s">
        <v>44</v>
      </c>
      <c r="W438" t="s">
        <v>1887</v>
      </c>
      <c r="X438" t="str">
        <f>HYPERLINK("https://images.diginfra.net/framed3.html?imagesetuuid=4246d97e-5e7a-4171-b55e-14e0b73f61db&amp;uri=https://images.diginfra.net/iiif/NL-HaNA_1.01.02/3799/NL-HaNA_1.01.02_3799_0117.jpg", "prev_meeting_viewer_url")</f>
        <v>prev_meeting_viewer_url</v>
      </c>
      <c r="Y438" t="str">
        <f>HYPERLINK("https://images.diginfra.net/iiif/NL-HaNA_1.01.02/3799/NL-HaNA_1.01.02_3799_0117.jpg/370,1797,1049,1614/full/0/default.jpg", "prev_meeting_iiif_url")</f>
        <v>prev_meeting_iiif_url</v>
      </c>
      <c r="Z438" t="s">
        <v>33</v>
      </c>
      <c r="AA438" t="s">
        <v>1888</v>
      </c>
      <c r="AB438" t="str">
        <f>HYPERLINK("https://images.diginfra.net/framed3.html?imagesetuuid=4246d97e-5e7a-4171-b55e-14e0b73f61db&amp;uri=https://images.diginfra.net/iiif/NL-HaNA_1.01.02/3799/NL-HaNA_1.01.02_3799_0118.jpg", "next_meeting_viewer_url")</f>
        <v>next_meeting_viewer_url</v>
      </c>
      <c r="AC438" t="str">
        <f>HYPERLINK("https://images.diginfra.net/iiif/NL-HaNA_1.01.02/3799/NL-HaNA_1.01.02_3799_0118.jpg/1291,763,1086,2612/full/0/default.jpg", "next_meeting_iiif_url")</f>
        <v>next_meeting_iiif_url</v>
      </c>
    </row>
    <row r="439" spans="1:29" x14ac:dyDescent="0.2">
      <c r="A439" t="s">
        <v>1889</v>
      </c>
      <c r="B439" t="s">
        <v>79</v>
      </c>
      <c r="C439" t="s">
        <v>1890</v>
      </c>
      <c r="D439" t="b">
        <v>1</v>
      </c>
      <c r="E439" t="b">
        <v>1</v>
      </c>
      <c r="I439" t="s">
        <v>1891</v>
      </c>
      <c r="J439">
        <v>3765</v>
      </c>
      <c r="K439">
        <v>53</v>
      </c>
      <c r="L439">
        <v>2673</v>
      </c>
      <c r="M439">
        <v>2320</v>
      </c>
      <c r="N439">
        <f t="shared" si="8"/>
        <v>106</v>
      </c>
      <c r="O439">
        <v>105</v>
      </c>
      <c r="P439">
        <v>0</v>
      </c>
      <c r="Q439">
        <v>1</v>
      </c>
      <c r="R439">
        <v>0</v>
      </c>
      <c r="S439" t="s">
        <v>33</v>
      </c>
      <c r="T439" t="str">
        <f>HYPERLINK("https://images.diginfra.net/framed3.html?imagesetuuid=4dfc1a1b-8cdf-4492-b411-5e67950ce484&amp;uri=https://images.diginfra.net/iiif/NL-HaNA_1.01.02/3765/NL-HaNA_1.01.02_3765_0053.jpg", "viewer_url")</f>
        <v>viewer_url</v>
      </c>
      <c r="U439" t="str">
        <f>HYPERLINK("https://images.diginfra.net/iiif/NL-HaNA_1.01.02/3765/NL-HaNA_1.01.02_3765_0053.jpg/2673,2320,914,989/full/0/default.jpg", "iiif_url")</f>
        <v>iiif_url</v>
      </c>
      <c r="V439" t="s">
        <v>33</v>
      </c>
      <c r="W439" t="s">
        <v>1892</v>
      </c>
      <c r="X439" t="str">
        <f>HYPERLINK("https://images.diginfra.net/framed3.html?imagesetuuid=4dfc1a1b-8cdf-4492-b411-5e67950ce484&amp;uri=https://images.diginfra.net/iiif/NL-HaNA_1.01.02/3765/NL-HaNA_1.01.02_3765_0050.jpg", "prev_meeting_viewer_url")</f>
        <v>prev_meeting_viewer_url</v>
      </c>
      <c r="Y439" t="str">
        <f>HYPERLINK("https://images.diginfra.net/iiif/NL-HaNA_1.01.02/3765/NL-HaNA_1.01.02_3765_0050.jpg/1243,2209,1112,1148/full/0/default.jpg", "prev_meeting_iiif_url")</f>
        <v>prev_meeting_iiif_url</v>
      </c>
      <c r="Z439" t="s">
        <v>33</v>
      </c>
      <c r="AA439" t="s">
        <v>1893</v>
      </c>
      <c r="AB439" t="str">
        <f>HYPERLINK("https://images.diginfra.net/framed3.html?imagesetuuid=4dfc1a1b-8cdf-4492-b411-5e67950ce484&amp;uri=https://images.diginfra.net/iiif/NL-HaNA_1.01.02/3765/NL-HaNA_1.01.02_3765_0055.jpg", "next_meeting_viewer_url")</f>
        <v>next_meeting_viewer_url</v>
      </c>
      <c r="AC439" t="str">
        <f>HYPERLINK("https://images.diginfra.net/iiif/NL-HaNA_1.01.02/3765/NL-HaNA_1.01.02_3765_0055.jpg/1294,1233,1127,2209/full/0/default.jpg", "next_meeting_iiif_url")</f>
        <v>next_meeting_iiif_url</v>
      </c>
    </row>
    <row r="440" spans="1:29" x14ac:dyDescent="0.2">
      <c r="A440" t="s">
        <v>1894</v>
      </c>
      <c r="B440" t="s">
        <v>63</v>
      </c>
      <c r="D440" t="b">
        <v>0</v>
      </c>
      <c r="E440" t="b">
        <v>0</v>
      </c>
      <c r="N440">
        <f t="shared" si="8"/>
        <v>0</v>
      </c>
      <c r="T440" t="str">
        <f>HYPERLINK("None", "viewer_url")</f>
        <v>viewer_url</v>
      </c>
      <c r="U440" t="str">
        <f>HYPERLINK("None", "iiif_url")</f>
        <v>iiif_url</v>
      </c>
      <c r="V440" t="s">
        <v>44</v>
      </c>
      <c r="X440" t="str">
        <f>HYPERLINK("https://images.diginfra.net/framed3.html?imagesetuuid=d79a5b0f-25ac-4440-9b23-adc237614d07&amp;uri=https://images.diginfra.net/iiif/NL-HaNA_1.01.02/3777/NL-HaNA_1.01.02_3777_0420.jpg", "prev_meeting_viewer_url")</f>
        <v>prev_meeting_viewer_url</v>
      </c>
      <c r="Y440" t="str">
        <f>HYPERLINK("https://images.diginfra.net/iiif/NL-HaNA_1.01.02/3777/NL-HaNA_1.01.02_3777_0420.jpg/3426,915,1122,2533/full/0/default.jpg", "prev_meeting_iiif_url")</f>
        <v>prev_meeting_iiif_url</v>
      </c>
    </row>
    <row r="441" spans="1:29" x14ac:dyDescent="0.2">
      <c r="A441" t="s">
        <v>1895</v>
      </c>
      <c r="B441" t="s">
        <v>37</v>
      </c>
      <c r="C441" t="s">
        <v>1896</v>
      </c>
      <c r="D441" t="b">
        <v>1</v>
      </c>
      <c r="E441" t="b">
        <v>1</v>
      </c>
      <c r="I441" t="s">
        <v>1897</v>
      </c>
      <c r="J441">
        <v>3815</v>
      </c>
      <c r="K441">
        <v>94</v>
      </c>
      <c r="L441">
        <v>1278</v>
      </c>
      <c r="M441">
        <v>1926</v>
      </c>
      <c r="N441">
        <f t="shared" si="8"/>
        <v>188</v>
      </c>
      <c r="O441">
        <v>186</v>
      </c>
      <c r="P441">
        <v>1</v>
      </c>
      <c r="Q441">
        <v>2</v>
      </c>
      <c r="R441">
        <v>0</v>
      </c>
      <c r="S441" t="s">
        <v>33</v>
      </c>
      <c r="T441" t="str">
        <f>HYPERLINK("https://images.diginfra.net/framed3.html?imagesetuuid=c649f39d-5b94-4d9d-8000-33acd4342c36&amp;uri=https://images.diginfra.net/iiif/NL-HaNA_1.01.02/3815/NL-HaNA_1.01.02_3815_0094.jpg", "viewer_url")</f>
        <v>viewer_url</v>
      </c>
      <c r="U441" t="str">
        <f>HYPERLINK("https://images.diginfra.net/iiif/NL-HaNA_1.01.02/3815/NL-HaNA_1.01.02_3815_0094.jpg/1278,1926,911,1406/full/0/default.jpg", "iiif_url")</f>
        <v>iiif_url</v>
      </c>
      <c r="V441" t="s">
        <v>33</v>
      </c>
      <c r="W441" t="s">
        <v>1898</v>
      </c>
      <c r="X441" t="str">
        <f>HYPERLINK("https://images.diginfra.net/framed3.html?imagesetuuid=c649f39d-5b94-4d9d-8000-33acd4342c36&amp;uri=https://images.diginfra.net/iiif/NL-HaNA_1.01.02/3815/NL-HaNA_1.01.02_3815_0093.jpg", "prev_meeting_viewer_url")</f>
        <v>prev_meeting_viewer_url</v>
      </c>
      <c r="Y441" t="str">
        <f>HYPERLINK("https://images.diginfra.net/iiif/NL-HaNA_1.01.02/3815/NL-HaNA_1.01.02_3815_0093.jpg/2435,1852,1087,1531/full/0/default.jpg", "prev_meeting_iiif_url")</f>
        <v>prev_meeting_iiif_url</v>
      </c>
      <c r="Z441" t="s">
        <v>33</v>
      </c>
      <c r="AA441" t="s">
        <v>1899</v>
      </c>
      <c r="AB441" t="str">
        <f>HYPERLINK("https://images.diginfra.net/framed3.html?imagesetuuid=c649f39d-5b94-4d9d-8000-33acd4342c36&amp;uri=https://images.diginfra.net/iiif/NL-HaNA_1.01.02/3815/NL-HaNA_1.01.02_3815_0094.jpg", "next_meeting_viewer_url")</f>
        <v>next_meeting_viewer_url</v>
      </c>
      <c r="AC441" t="str">
        <f>HYPERLINK("https://images.diginfra.net/iiif/NL-HaNA_1.01.02/3815/NL-HaNA_1.01.02_3815_0094.jpg/2429,1749,1032,1736/full/0/default.jpg", "next_meeting_iiif_url")</f>
        <v>next_meeting_iiif_url</v>
      </c>
    </row>
    <row r="442" spans="1:29" x14ac:dyDescent="0.2">
      <c r="A442" t="s">
        <v>1900</v>
      </c>
      <c r="B442" t="s">
        <v>48</v>
      </c>
      <c r="C442" t="s">
        <v>1901</v>
      </c>
      <c r="D442" t="b">
        <v>1</v>
      </c>
      <c r="E442" t="b">
        <v>1</v>
      </c>
      <c r="I442" t="s">
        <v>1902</v>
      </c>
      <c r="J442">
        <v>3775</v>
      </c>
      <c r="K442">
        <v>248</v>
      </c>
      <c r="L442">
        <v>383</v>
      </c>
      <c r="M442">
        <v>2593</v>
      </c>
      <c r="N442">
        <f t="shared" si="8"/>
        <v>496</v>
      </c>
      <c r="O442">
        <v>494</v>
      </c>
      <c r="P442">
        <v>0</v>
      </c>
      <c r="Q442">
        <v>2</v>
      </c>
      <c r="R442">
        <v>0</v>
      </c>
      <c r="S442" t="s">
        <v>33</v>
      </c>
      <c r="T442" t="str">
        <f>HYPERLINK("https://images.diginfra.net/framed3.html?imagesetuuid=e344f420-8808-4cb9-bb8a-07944ccb8c18&amp;uri=https://images.diginfra.net/iiif/NL-HaNA_1.01.02/3775/NL-HaNA_1.01.02_3775_0248.jpg", "viewer_url")</f>
        <v>viewer_url</v>
      </c>
      <c r="U442" t="str">
        <f>HYPERLINK("https://images.diginfra.net/iiif/NL-HaNA_1.01.02/3775/NL-HaNA_1.01.02_3775_0248.jpg/383,2593,854,695/full/0/default.jpg", "iiif_url")</f>
        <v>iiif_url</v>
      </c>
      <c r="V442" t="s">
        <v>33</v>
      </c>
      <c r="W442" t="s">
        <v>1903</v>
      </c>
      <c r="X442" t="str">
        <f>HYPERLINK("https://images.diginfra.net/framed3.html?imagesetuuid=e344f420-8808-4cb9-bb8a-07944ccb8c18&amp;uri=https://images.diginfra.net/iiif/NL-HaNA_1.01.02/3775/NL-HaNA_1.01.02_3775_0247.jpg", "prev_meeting_viewer_url")</f>
        <v>prev_meeting_viewer_url</v>
      </c>
      <c r="Y442" t="str">
        <f>HYPERLINK("https://images.diginfra.net/iiif/NL-HaNA_1.01.02/3775/NL-HaNA_1.01.02_3775_0247.jpg/396,2944,733,388/full/0/default.jpg", "prev_meeting_iiif_url")</f>
        <v>prev_meeting_iiif_url</v>
      </c>
      <c r="Z442" t="s">
        <v>33</v>
      </c>
      <c r="AA442" t="s">
        <v>1904</v>
      </c>
      <c r="AB442" t="str">
        <f>HYPERLINK("https://images.diginfra.net/framed3.html?imagesetuuid=e344f420-8808-4cb9-bb8a-07944ccb8c18&amp;uri=https://images.diginfra.net/iiif/NL-HaNA_1.01.02/3775/NL-HaNA_1.01.02_3775_0249.jpg", "next_meeting_viewer_url")</f>
        <v>next_meeting_viewer_url</v>
      </c>
      <c r="AC442" t="str">
        <f>HYPERLINK("https://images.diginfra.net/iiif/NL-HaNA_1.01.02/3775/NL-HaNA_1.01.02_3775_0249.jpg/1171,1813,1065,1574/full/0/default.jpg", "next_meeting_iiif_url")</f>
        <v>next_meeting_iiif_url</v>
      </c>
    </row>
    <row r="443" spans="1:29" x14ac:dyDescent="0.2">
      <c r="A443" t="s">
        <v>1905</v>
      </c>
      <c r="B443" t="s">
        <v>63</v>
      </c>
      <c r="D443" t="b">
        <v>0</v>
      </c>
      <c r="E443" t="b">
        <v>0</v>
      </c>
      <c r="I443" t="s">
        <v>1906</v>
      </c>
      <c r="J443">
        <v>3781</v>
      </c>
      <c r="K443">
        <v>477</v>
      </c>
      <c r="N443">
        <f t="shared" si="8"/>
        <v>954</v>
      </c>
      <c r="O443">
        <v>952</v>
      </c>
      <c r="P443">
        <v>0</v>
      </c>
      <c r="Q443">
        <v>2</v>
      </c>
      <c r="R443">
        <v>0</v>
      </c>
      <c r="S443" t="s">
        <v>44</v>
      </c>
      <c r="T443" t="str">
        <f>HYPERLINK("https://images.diginfra.net/framed3.html?imagesetuuid=7806433b-7f26-4d4e-8e76-37d108a188de&amp;uri=https://images.diginfra.net/iiif/NL-HaNA_1.01.02/3781/NL-HaNA_1.01.02_3781_0477.jpg", "viewer_url")</f>
        <v>viewer_url</v>
      </c>
      <c r="U443" t="str">
        <f>HYPERLINK("https://images.diginfra.net/iiif/NL-HaNA_1.01.02/3781/NL-HaNA_1.01.02_3781_0477.jpg/417,2556,1038,889/full/0/default.jpg", "iiif_url")</f>
        <v>iiif_url</v>
      </c>
      <c r="V443" t="s">
        <v>33</v>
      </c>
      <c r="X443" t="str">
        <f>HYPERLINK("https://images.diginfra.net/framed3.html?imagesetuuid=7806433b-7f26-4d4e-8e76-37d108a188de&amp;uri=https://images.diginfra.net/iiif/NL-HaNA_1.01.02/3781/NL-HaNA_1.01.02_3781_0475.jpg", "prev_meeting_viewer_url")</f>
        <v>prev_meeting_viewer_url</v>
      </c>
      <c r="Y443" t="str">
        <f>HYPERLINK("https://images.diginfra.net/iiif/NL-HaNA_1.01.02/3781/NL-HaNA_1.01.02_3781_0475.jpg/3435,723,1133,2713/full/0/default.jpg", "prev_meeting_iiif_url")</f>
        <v>prev_meeting_iiif_url</v>
      </c>
      <c r="Z443" t="s">
        <v>44</v>
      </c>
      <c r="AA443" t="s">
        <v>1269</v>
      </c>
      <c r="AB443" t="str">
        <f>HYPERLINK("https://images.diginfra.net/framed3.html?imagesetuuid=7806433b-7f26-4d4e-8e76-37d108a188de&amp;uri=https://images.diginfra.net/iiif/NL-HaNA_1.01.02/3781/NL-HaNA_1.01.02_3781_0477.jpg", "next_meeting_viewer_url")</f>
        <v>next_meeting_viewer_url</v>
      </c>
      <c r="AC443" t="str">
        <f>HYPERLINK("https://images.diginfra.net/iiif/NL-HaNA_1.01.02/3781/NL-HaNA_1.01.02_3781_0477.jpg/417,2556,1038,889/full/0/default.jpg", "next_meeting_iiif_url")</f>
        <v>next_meeting_iiif_url</v>
      </c>
    </row>
    <row r="444" spans="1:29" x14ac:dyDescent="0.2">
      <c r="A444" t="s">
        <v>1907</v>
      </c>
      <c r="B444" t="s">
        <v>79</v>
      </c>
      <c r="C444" t="s">
        <v>1908</v>
      </c>
      <c r="D444" t="b">
        <v>1</v>
      </c>
      <c r="E444" t="b">
        <v>1</v>
      </c>
      <c r="I444" t="s">
        <v>1909</v>
      </c>
      <c r="J444">
        <v>3836</v>
      </c>
      <c r="K444">
        <v>416</v>
      </c>
      <c r="L444">
        <v>2469</v>
      </c>
      <c r="M444">
        <v>2481</v>
      </c>
      <c r="N444">
        <f t="shared" si="8"/>
        <v>832</v>
      </c>
      <c r="O444">
        <v>831</v>
      </c>
      <c r="P444">
        <v>0</v>
      </c>
      <c r="Q444">
        <v>2</v>
      </c>
      <c r="R444">
        <v>0</v>
      </c>
      <c r="S444" t="s">
        <v>33</v>
      </c>
      <c r="T444" t="str">
        <f>HYPERLINK("https://images.diginfra.net/framed3.html?imagesetuuid=4afc9a09-602a-4496-bef5-1ae8940042a8&amp;uri=https://images.diginfra.net/iiif/NL-HaNA_1.01.02/3836/NL-HaNA_1.01.02_3836_0416.jpg", "viewer_url")</f>
        <v>viewer_url</v>
      </c>
      <c r="U444" t="str">
        <f>HYPERLINK("https://images.diginfra.net/iiif/NL-HaNA_1.01.02/3836/NL-HaNA_1.01.02_3836_0416.jpg/2469,2481,827,772/full/0/default.jpg", "iiif_url")</f>
        <v>iiif_url</v>
      </c>
      <c r="V444" t="s">
        <v>33</v>
      </c>
      <c r="W444" t="s">
        <v>1910</v>
      </c>
      <c r="X444" t="str">
        <f>HYPERLINK("https://images.diginfra.net/framed3.html?imagesetuuid=4afc9a09-602a-4496-bef5-1ae8940042a8&amp;uri=https://images.diginfra.net/iiif/NL-HaNA_1.01.02/3836/NL-HaNA_1.01.02_3836_0415.jpg", "prev_meeting_viewer_url")</f>
        <v>prev_meeting_viewer_url</v>
      </c>
      <c r="Y444" t="str">
        <f>HYPERLINK("https://images.diginfra.net/iiif/NL-HaNA_1.01.02/3836/NL-HaNA_1.01.02_3836_0415.jpg/1210,2073,1025,1173/full/0/default.jpg", "prev_meeting_iiif_url")</f>
        <v>prev_meeting_iiif_url</v>
      </c>
      <c r="Z444" t="s">
        <v>33</v>
      </c>
      <c r="AA444" t="s">
        <v>1911</v>
      </c>
      <c r="AB444" t="str">
        <f>HYPERLINK("https://images.diginfra.net/framed3.html?imagesetuuid=4afc9a09-602a-4496-bef5-1ae8940042a8&amp;uri=https://images.diginfra.net/iiif/NL-HaNA_1.01.02/3836/NL-HaNA_1.01.02_3836_0418.jpg", "next_meeting_viewer_url")</f>
        <v>next_meeting_viewer_url</v>
      </c>
      <c r="AC444" t="str">
        <f>HYPERLINK("https://images.diginfra.net/iiif/NL-HaNA_1.01.02/3836/NL-HaNA_1.01.02_3836_0418.jpg/262,992,1072,2351/full/0/default.jpg", "next_meeting_iiif_url")</f>
        <v>next_meeting_iiif_url</v>
      </c>
    </row>
    <row r="445" spans="1:29" x14ac:dyDescent="0.2">
      <c r="A445" t="s">
        <v>1912</v>
      </c>
      <c r="B445" t="s">
        <v>30</v>
      </c>
      <c r="C445" t="s">
        <v>1913</v>
      </c>
      <c r="D445" t="b">
        <v>1</v>
      </c>
      <c r="E445" t="b">
        <v>1</v>
      </c>
      <c r="I445" t="s">
        <v>1914</v>
      </c>
      <c r="J445">
        <v>3830</v>
      </c>
      <c r="K445">
        <v>298</v>
      </c>
      <c r="L445">
        <v>1392</v>
      </c>
      <c r="M445">
        <v>2924</v>
      </c>
      <c r="N445">
        <f t="shared" si="8"/>
        <v>596</v>
      </c>
      <c r="O445">
        <v>594</v>
      </c>
      <c r="P445">
        <v>1</v>
      </c>
      <c r="Q445">
        <v>1</v>
      </c>
      <c r="R445">
        <v>55</v>
      </c>
      <c r="S445" t="s">
        <v>33</v>
      </c>
      <c r="T445" t="str">
        <f>HYPERLINK("https://images.diginfra.net/framed3.html?imagesetuuid=c4957ef5-1023-495b-ad5d-bfab5967cb29&amp;uri=https://images.diginfra.net/iiif/NL-HaNA_1.01.02/3830/NL-HaNA_1.01.02_3830_0298.jpg", "viewer_url")</f>
        <v>viewer_url</v>
      </c>
      <c r="U445" t="str">
        <f>HYPERLINK("https://images.diginfra.net/iiif/NL-HaNA_1.01.02/3830/NL-HaNA_1.01.02_3830_0298.jpg/1392,2924,779,352/full/0/default.jpg", "iiif_url")</f>
        <v>iiif_url</v>
      </c>
      <c r="V445" t="s">
        <v>33</v>
      </c>
      <c r="W445" t="s">
        <v>1915</v>
      </c>
      <c r="X445" t="str">
        <f>HYPERLINK("https://images.diginfra.net/framed3.html?imagesetuuid=c4957ef5-1023-495b-ad5d-bfab5967cb29&amp;uri=https://images.diginfra.net/iiif/NL-HaNA_1.01.02/3830/NL-HaNA_1.01.02_3830_0294.jpg", "prev_meeting_viewer_url")</f>
        <v>prev_meeting_viewer_url</v>
      </c>
      <c r="Y445" t="str">
        <f>HYPERLINK("https://images.diginfra.net/iiif/NL-HaNA_1.01.02/3830/NL-HaNA_1.01.02_3830_0294.jpg/3388,1699,1073,1560/full/0/default.jpg", "prev_meeting_iiif_url")</f>
        <v>prev_meeting_iiif_url</v>
      </c>
      <c r="Z445" t="s">
        <v>33</v>
      </c>
      <c r="AA445" t="s">
        <v>1916</v>
      </c>
      <c r="AB445" t="str">
        <f>HYPERLINK("https://images.diginfra.net/framed3.html?imagesetuuid=c4957ef5-1023-495b-ad5d-bfab5967cb29&amp;uri=https://images.diginfra.net/iiif/NL-HaNA_1.01.02/3830/NL-HaNA_1.01.02_3830_0299.jpg", "next_meeting_viewer_url")</f>
        <v>next_meeting_viewer_url</v>
      </c>
      <c r="AC445" t="str">
        <f>HYPERLINK("https://images.diginfra.net/iiif/NL-HaNA_1.01.02/3830/NL-HaNA_1.01.02_3830_0299.jpg/1237,1395,1085,1913/full/0/default.jpg", "next_meeting_iiif_url")</f>
        <v>next_meeting_iiif_url</v>
      </c>
    </row>
    <row r="446" spans="1:29" x14ac:dyDescent="0.2">
      <c r="A446" t="s">
        <v>1917</v>
      </c>
      <c r="B446" t="s">
        <v>59</v>
      </c>
      <c r="D446" t="b">
        <v>0</v>
      </c>
      <c r="E446" t="b">
        <v>0</v>
      </c>
      <c r="I446" t="s">
        <v>1918</v>
      </c>
      <c r="J446">
        <v>3821</v>
      </c>
      <c r="K446">
        <v>172</v>
      </c>
      <c r="N446">
        <f t="shared" si="8"/>
        <v>344</v>
      </c>
      <c r="O446">
        <v>343</v>
      </c>
      <c r="P446">
        <v>0</v>
      </c>
      <c r="Q446">
        <v>1</v>
      </c>
      <c r="R446">
        <v>17</v>
      </c>
      <c r="S446" t="s">
        <v>33</v>
      </c>
      <c r="T446" t="str">
        <f>HYPERLINK("https://images.diginfra.net/framed3.html?imagesetuuid=d2997452-8788-4796-912c-2151f3b459f9&amp;uri=https://images.diginfra.net/iiif/NL-HaNA_1.01.02/3821/NL-HaNA_1.01.02_3821_0172.jpg", "viewer_url")</f>
        <v>viewer_url</v>
      </c>
      <c r="U446" t="str">
        <f>HYPERLINK("https://images.diginfra.net/iiif/NL-HaNA_1.01.02/3821/NL-HaNA_1.01.02_3821_0172.jpg/2351,2245,1059,1180/full/0/default.jpg", "iiif_url")</f>
        <v>iiif_url</v>
      </c>
      <c r="Z446" t="s">
        <v>33</v>
      </c>
      <c r="AA446" t="s">
        <v>1919</v>
      </c>
      <c r="AB446" t="str">
        <f>HYPERLINK("https://images.diginfra.net/framed3.html?imagesetuuid=d2997452-8788-4796-912c-2151f3b459f9&amp;uri=https://images.diginfra.net/iiif/NL-HaNA_1.01.02/3821/NL-HaNA_1.01.02_3821_0172.jpg", "next_meeting_viewer_url")</f>
        <v>next_meeting_viewer_url</v>
      </c>
      <c r="AC446" t="str">
        <f>HYPERLINK("https://images.diginfra.net/iiif/NL-HaNA_1.01.02/3821/NL-HaNA_1.01.02_3821_0172.jpg/2351,2245,1059,1180/full/0/default.jpg", "next_meeting_iiif_url")</f>
        <v>next_meeting_iiif_url</v>
      </c>
    </row>
    <row r="447" spans="1:29" x14ac:dyDescent="0.2">
      <c r="A447" t="s">
        <v>1920</v>
      </c>
      <c r="B447" t="s">
        <v>48</v>
      </c>
      <c r="C447" t="s">
        <v>1921</v>
      </c>
      <c r="D447" t="b">
        <v>1</v>
      </c>
      <c r="E447" t="b">
        <v>1</v>
      </c>
      <c r="I447" t="s">
        <v>1922</v>
      </c>
      <c r="J447">
        <v>3762</v>
      </c>
      <c r="K447">
        <v>155</v>
      </c>
      <c r="L447">
        <v>3477</v>
      </c>
      <c r="M447">
        <v>2687</v>
      </c>
      <c r="N447">
        <f t="shared" si="8"/>
        <v>310</v>
      </c>
      <c r="O447">
        <v>309</v>
      </c>
      <c r="P447">
        <v>1</v>
      </c>
      <c r="Q447">
        <v>2</v>
      </c>
      <c r="R447">
        <v>6</v>
      </c>
      <c r="S447" t="s">
        <v>33</v>
      </c>
      <c r="T447" t="str">
        <f>HYPERLINK("https://images.diginfra.net/framed3.html?imagesetuuid=df3dafee-b161-42ae-8ffe-6d7f9dbb63ed&amp;uri=https://images.diginfra.net/iiif/NL-HaNA_1.01.02/3762/NL-HaNA_1.01.02_3762_0155.jpg", "viewer_url")</f>
        <v>viewer_url</v>
      </c>
      <c r="U447" t="str">
        <f>HYPERLINK("https://images.diginfra.net/iiif/NL-HaNA_1.01.02/3762/NL-HaNA_1.01.02_3762_0155.jpg/3477,2687,856,626/full/0/default.jpg", "iiif_url")</f>
        <v>iiif_url</v>
      </c>
      <c r="V447" t="s">
        <v>33</v>
      </c>
      <c r="W447" t="s">
        <v>1923</v>
      </c>
      <c r="X447" t="str">
        <f>HYPERLINK("https://images.diginfra.net/framed3.html?imagesetuuid=df3dafee-b161-42ae-8ffe-6d7f9dbb63ed&amp;uri=https://images.diginfra.net/iiif/NL-HaNA_1.01.02/3762/NL-HaNA_1.01.02_3762_0153.jpg", "prev_meeting_viewer_url")</f>
        <v>prev_meeting_viewer_url</v>
      </c>
      <c r="Y447" t="str">
        <f>HYPERLINK("https://images.diginfra.net/iiif/NL-HaNA_1.01.02/3762/NL-HaNA_1.01.02_3762_0153.jpg/1266,2769,1075,662/full/0/default.jpg", "prev_meeting_iiif_url")</f>
        <v>prev_meeting_iiif_url</v>
      </c>
      <c r="Z447" t="s">
        <v>33</v>
      </c>
      <c r="AA447" t="s">
        <v>1924</v>
      </c>
      <c r="AB447" t="str">
        <f>HYPERLINK("https://images.diginfra.net/framed3.html?imagesetuuid=df3dafee-b161-42ae-8ffe-6d7f9dbb63ed&amp;uri=https://images.diginfra.net/iiif/NL-HaNA_1.01.02/3762/NL-HaNA_1.01.02_3762_0160.jpg", "next_meeting_viewer_url")</f>
        <v>next_meeting_viewer_url</v>
      </c>
      <c r="AC447" t="str">
        <f>HYPERLINK("https://images.diginfra.net/iiif/NL-HaNA_1.01.02/3762/NL-HaNA_1.01.02_3762_0160.jpg/2380,1912,1095,1528/full/0/default.jpg", "next_meeting_iiif_url")</f>
        <v>next_meeting_iiif_url</v>
      </c>
    </row>
    <row r="448" spans="1:29" x14ac:dyDescent="0.2">
      <c r="A448" t="s">
        <v>1925</v>
      </c>
      <c r="B448" t="s">
        <v>63</v>
      </c>
      <c r="D448" t="b">
        <v>0</v>
      </c>
      <c r="E448" t="b">
        <v>0</v>
      </c>
      <c r="I448" t="s">
        <v>1926</v>
      </c>
      <c r="J448">
        <v>3824</v>
      </c>
      <c r="K448">
        <v>534</v>
      </c>
      <c r="N448">
        <f t="shared" si="8"/>
        <v>1068</v>
      </c>
      <c r="O448">
        <v>1066</v>
      </c>
      <c r="P448">
        <v>1</v>
      </c>
      <c r="Q448">
        <v>1</v>
      </c>
      <c r="R448">
        <v>0</v>
      </c>
      <c r="S448" t="s">
        <v>33</v>
      </c>
      <c r="T448" t="str">
        <f>HYPERLINK("https://images.diginfra.net/framed3.html?imagesetuuid=dd191040-86df-4eff-a597-814a829dbed3&amp;uri=https://images.diginfra.net/iiif/NL-HaNA_1.01.02/3824/NL-HaNA_1.01.02_3824_0534.jpg", "viewer_url")</f>
        <v>viewer_url</v>
      </c>
      <c r="U448" t="str">
        <f>HYPERLINK("https://images.diginfra.net/iiif/NL-HaNA_1.01.02/3824/NL-HaNA_1.01.02_3824_0534.jpg/1250,500,1081,2839/full/0/default.jpg", "iiif_url")</f>
        <v>iiif_url</v>
      </c>
      <c r="V448" t="s">
        <v>33</v>
      </c>
      <c r="W448" t="s">
        <v>1927</v>
      </c>
      <c r="X448" t="str">
        <f>HYPERLINK("https://images.diginfra.net/framed3.html?imagesetuuid=dd191040-86df-4eff-a597-814a829dbed3&amp;uri=https://images.diginfra.net/iiif/NL-HaNA_1.01.02/3824/NL-HaNA_1.01.02_3824_0531.jpg", "prev_meeting_viewer_url")</f>
        <v>prev_meeting_viewer_url</v>
      </c>
      <c r="Y448" t="str">
        <f>HYPERLINK("https://images.diginfra.net/iiif/NL-HaNA_1.01.02/3824/NL-HaNA_1.01.02_3824_0531.jpg/2321,1227,1075,2112/full/0/default.jpg", "prev_meeting_iiif_url")</f>
        <v>prev_meeting_iiif_url</v>
      </c>
      <c r="Z448" t="s">
        <v>33</v>
      </c>
      <c r="AA448" t="s">
        <v>1928</v>
      </c>
      <c r="AB448" t="str">
        <f>HYPERLINK("https://images.diginfra.net/framed3.html?imagesetuuid=dd191040-86df-4eff-a597-814a829dbed3&amp;uri=https://images.diginfra.net/iiif/NL-HaNA_1.01.02/3824/NL-HaNA_1.01.02_3824_0534.jpg", "next_meeting_viewer_url")</f>
        <v>next_meeting_viewer_url</v>
      </c>
      <c r="AC448" t="str">
        <f>HYPERLINK("https://images.diginfra.net/iiif/NL-HaNA_1.01.02/3824/NL-HaNA_1.01.02_3824_0534.jpg/1250,500,1081,2839/full/0/default.jpg", "next_meeting_iiif_url")</f>
        <v>next_meeting_iiif_url</v>
      </c>
    </row>
    <row r="449" spans="1:29" x14ac:dyDescent="0.2">
      <c r="A449" t="s">
        <v>1929</v>
      </c>
      <c r="B449" t="s">
        <v>30</v>
      </c>
      <c r="C449" t="s">
        <v>1930</v>
      </c>
      <c r="D449" t="b">
        <v>1</v>
      </c>
      <c r="E449" t="b">
        <v>1</v>
      </c>
      <c r="I449" t="s">
        <v>1931</v>
      </c>
      <c r="J449">
        <v>3836</v>
      </c>
      <c r="K449">
        <v>333</v>
      </c>
      <c r="L449">
        <v>282</v>
      </c>
      <c r="M449">
        <v>958</v>
      </c>
      <c r="N449">
        <f t="shared" si="8"/>
        <v>666</v>
      </c>
      <c r="O449">
        <v>664</v>
      </c>
      <c r="P449">
        <v>0</v>
      </c>
      <c r="Q449">
        <v>1</v>
      </c>
      <c r="R449">
        <v>0</v>
      </c>
      <c r="S449" t="s">
        <v>33</v>
      </c>
      <c r="T449" t="str">
        <f>HYPERLINK("https://images.diginfra.net/framed3.html?imagesetuuid=4afc9a09-602a-4496-bef5-1ae8940042a8&amp;uri=https://images.diginfra.net/iiif/NL-HaNA_1.01.02/3836/NL-HaNA_1.01.02_3836_0333.jpg", "viewer_url")</f>
        <v>viewer_url</v>
      </c>
      <c r="U449" t="str">
        <f>HYPERLINK("https://images.diginfra.net/iiif/NL-HaNA_1.01.02/3836/NL-HaNA_1.01.02_3836_0333.jpg/282,958,902,2354/full/0/default.jpg", "iiif_url")</f>
        <v>iiif_url</v>
      </c>
      <c r="V449" t="s">
        <v>33</v>
      </c>
      <c r="W449" t="s">
        <v>1932</v>
      </c>
      <c r="X449" t="str">
        <f>HYPERLINK("https://images.diginfra.net/framed3.html?imagesetuuid=4afc9a09-602a-4496-bef5-1ae8940042a8&amp;uri=https://images.diginfra.net/iiif/NL-HaNA_1.01.02/3836/NL-HaNA_1.01.02_3836_0330.jpg", "prev_meeting_viewer_url")</f>
        <v>prev_meeting_viewer_url</v>
      </c>
      <c r="Y449" t="str">
        <f>HYPERLINK("https://images.diginfra.net/iiif/NL-HaNA_1.01.02/3836/NL-HaNA_1.01.02_3836_0330.jpg/2311,1155,1100,2260/full/0/default.jpg", "prev_meeting_iiif_url")</f>
        <v>prev_meeting_iiif_url</v>
      </c>
      <c r="Z449" t="s">
        <v>33</v>
      </c>
      <c r="AA449" t="s">
        <v>1933</v>
      </c>
      <c r="AB449" t="str">
        <f>HYPERLINK("https://images.diginfra.net/framed3.html?imagesetuuid=4afc9a09-602a-4496-bef5-1ae8940042a8&amp;uri=https://images.diginfra.net/iiif/NL-HaNA_1.01.02/3836/NL-HaNA_1.01.02_3836_0334.jpg", "next_meeting_viewer_url")</f>
        <v>next_meeting_viewer_url</v>
      </c>
      <c r="AC449" t="str">
        <f>HYPERLINK("https://images.diginfra.net/iiif/NL-HaNA_1.01.02/3836/NL-HaNA_1.01.02_3836_0334.jpg/1190,1838,1078,1588/full/0/default.jpg", "next_meeting_iiif_url")</f>
        <v>next_meeting_iiif_url</v>
      </c>
    </row>
    <row r="450" spans="1:29" x14ac:dyDescent="0.2">
      <c r="A450" t="s">
        <v>1934</v>
      </c>
      <c r="B450" t="s">
        <v>30</v>
      </c>
      <c r="C450" t="s">
        <v>1935</v>
      </c>
      <c r="D450" t="b">
        <v>1</v>
      </c>
      <c r="E450" t="b">
        <v>1</v>
      </c>
      <c r="I450" t="s">
        <v>1936</v>
      </c>
      <c r="J450">
        <v>3822</v>
      </c>
      <c r="K450">
        <v>410</v>
      </c>
      <c r="L450">
        <v>398</v>
      </c>
      <c r="M450">
        <v>1482</v>
      </c>
      <c r="N450">
        <f t="shared" ref="N450:N513" si="9">K450*2</f>
        <v>820</v>
      </c>
      <c r="O450">
        <v>818</v>
      </c>
      <c r="P450">
        <v>0</v>
      </c>
      <c r="Q450">
        <v>1</v>
      </c>
      <c r="R450">
        <v>0</v>
      </c>
      <c r="S450" t="s">
        <v>33</v>
      </c>
      <c r="T450" t="str">
        <f>HYPERLINK("https://images.diginfra.net/framed3.html?imagesetuuid=e0965315-891d-46c1-9dac-fc6b729921cf&amp;uri=https://images.diginfra.net/iiif/NL-HaNA_1.01.02/3822/NL-HaNA_1.01.02_3822_0410.jpg", "viewer_url")</f>
        <v>viewer_url</v>
      </c>
      <c r="U450" t="str">
        <f>HYPERLINK("https://images.diginfra.net/iiif/NL-HaNA_1.01.02/3822/NL-HaNA_1.01.02_3822_0410.jpg/398,1482,823,1746/full/0/default.jpg", "iiif_url")</f>
        <v>iiif_url</v>
      </c>
      <c r="V450" t="s">
        <v>33</v>
      </c>
      <c r="W450" t="s">
        <v>1937</v>
      </c>
      <c r="X450" t="str">
        <f>HYPERLINK("https://images.diginfra.net/framed3.html?imagesetuuid=e0965315-891d-46c1-9dac-fc6b729921cf&amp;uri=https://images.diginfra.net/iiif/NL-HaNA_1.01.02/3822/NL-HaNA_1.01.02_3822_0407.jpg", "prev_meeting_viewer_url")</f>
        <v>prev_meeting_viewer_url</v>
      </c>
      <c r="Y450" t="str">
        <f>HYPERLINK("https://images.diginfra.net/iiif/NL-HaNA_1.01.02/3822/NL-HaNA_1.01.02_3822_0407.jpg/263,2801,1076,486/full/0/default.jpg", "prev_meeting_iiif_url")</f>
        <v>prev_meeting_iiif_url</v>
      </c>
      <c r="Z450" t="s">
        <v>33</v>
      </c>
      <c r="AB450" t="str">
        <f>HYPERLINK("https://images.diginfra.net/framed3.html?imagesetuuid=e0965315-891d-46c1-9dac-fc6b729921cf&amp;uri=https://images.diginfra.net/iiif/NL-HaNA_1.01.02/3822/NL-HaNA_1.01.02_3822_0413.jpg", "next_meeting_viewer_url")</f>
        <v>next_meeting_viewer_url</v>
      </c>
      <c r="AC450" t="str">
        <f>HYPERLINK("https://images.diginfra.net/iiif/NL-HaNA_1.01.02/3822/NL-HaNA_1.01.02_3822_0413.jpg/3257,2746,1062,636/full/0/default.jpg", "next_meeting_iiif_url")</f>
        <v>next_meeting_iiif_url</v>
      </c>
    </row>
    <row r="451" spans="1:29" x14ac:dyDescent="0.2">
      <c r="A451" t="s">
        <v>1938</v>
      </c>
      <c r="B451" t="s">
        <v>37</v>
      </c>
      <c r="C451" t="s">
        <v>1939</v>
      </c>
      <c r="D451" t="b">
        <v>1</v>
      </c>
      <c r="E451" t="b">
        <v>1</v>
      </c>
      <c r="I451" t="s">
        <v>1940</v>
      </c>
      <c r="J451">
        <v>3823</v>
      </c>
      <c r="K451">
        <v>391</v>
      </c>
      <c r="L451">
        <v>2431</v>
      </c>
      <c r="M451">
        <v>1825</v>
      </c>
      <c r="N451">
        <f t="shared" si="9"/>
        <v>782</v>
      </c>
      <c r="O451">
        <v>781</v>
      </c>
      <c r="P451">
        <v>0</v>
      </c>
      <c r="Q451">
        <v>0</v>
      </c>
      <c r="R451">
        <v>31</v>
      </c>
      <c r="S451" t="s">
        <v>33</v>
      </c>
      <c r="T451" t="str">
        <f>HYPERLINK("https://images.diginfra.net/framed3.html?imagesetuuid=08f55768-66d4-4560-816c-70f4ea910842&amp;uri=https://images.diginfra.net/iiif/NL-HaNA_1.01.02/3823/NL-HaNA_1.01.02_3823_0391.jpg", "viewer_url")</f>
        <v>viewer_url</v>
      </c>
      <c r="U451" t="str">
        <f>HYPERLINK("https://images.diginfra.net/iiif/NL-HaNA_1.01.02/3823/NL-HaNA_1.01.02_3823_0391.jpg/2431,1825,887,1449/full/0/default.jpg", "iiif_url")</f>
        <v>iiif_url</v>
      </c>
      <c r="Z451" t="s">
        <v>33</v>
      </c>
      <c r="AA451" t="s">
        <v>494</v>
      </c>
      <c r="AB451" t="str">
        <f>HYPERLINK("https://images.diginfra.net/framed3.html?imagesetuuid=08f55768-66d4-4560-816c-70f4ea910842&amp;uri=https://images.diginfra.net/iiif/NL-HaNA_1.01.02/3823/NL-HaNA_1.01.02_3823_0392.jpg", "next_meeting_viewer_url")</f>
        <v>next_meeting_viewer_url</v>
      </c>
      <c r="AC451" t="str">
        <f>HYPERLINK("https://images.diginfra.net/iiif/NL-HaNA_1.01.02/3823/NL-HaNA_1.01.02_3823_0392.jpg/3306,266,1085,3076/full/0/default.jpg", "next_meeting_iiif_url")</f>
        <v>next_meeting_iiif_url</v>
      </c>
    </row>
    <row r="452" spans="1:29" x14ac:dyDescent="0.2">
      <c r="A452" t="s">
        <v>1941</v>
      </c>
      <c r="B452" t="s">
        <v>79</v>
      </c>
      <c r="D452" t="b">
        <v>1</v>
      </c>
      <c r="E452" t="b">
        <v>1</v>
      </c>
      <c r="I452" t="s">
        <v>1942</v>
      </c>
      <c r="J452">
        <v>3860</v>
      </c>
      <c r="K452">
        <v>31</v>
      </c>
      <c r="L452">
        <v>1527</v>
      </c>
      <c r="M452">
        <v>2321</v>
      </c>
      <c r="N452">
        <f t="shared" si="9"/>
        <v>62</v>
      </c>
      <c r="O452">
        <v>60</v>
      </c>
      <c r="P452">
        <v>1</v>
      </c>
      <c r="Q452">
        <v>1</v>
      </c>
      <c r="R452">
        <v>2</v>
      </c>
      <c r="S452" t="s">
        <v>33</v>
      </c>
      <c r="T452" t="str">
        <f>HYPERLINK("https://images.diginfra.net/framed3.html?imagesetuuid=85a72eaa-4faa-4148-a025-9b1c9fb4c2c1&amp;uri=https://images.diginfra.net/iiif/NL-HaNA_1.01.02/3860/NL-HaNA_1.01.02_3860_0031.jpg", "viewer_url")</f>
        <v>viewer_url</v>
      </c>
      <c r="U452" t="str">
        <f>HYPERLINK("https://images.diginfra.net/iiif/NL-HaNA_1.01.02/3860/NL-HaNA_1.01.02_3860_0031.jpg/1527,2321,841,1057/full/0/default.jpg", "iiif_url")</f>
        <v>iiif_url</v>
      </c>
      <c r="V452" t="s">
        <v>33</v>
      </c>
      <c r="W452" t="s">
        <v>591</v>
      </c>
      <c r="X452" t="str">
        <f>HYPERLINK("https://images.diginfra.net/framed3.html?imagesetuuid=85a72eaa-4faa-4148-a025-9b1c9fb4c2c1&amp;uri=https://images.diginfra.net/iiif/NL-HaNA_1.01.02/3860/NL-HaNA_1.01.02_3860_0029.jpg", "prev_meeting_viewer_url")</f>
        <v>prev_meeting_viewer_url</v>
      </c>
      <c r="Y452" t="str">
        <f>HYPERLINK("https://images.diginfra.net/iiif/NL-HaNA_1.01.02/3860/NL-HaNA_1.01.02_3860_0029.jpg/415,1105,1071,2352/full/0/default.jpg", "prev_meeting_iiif_url")</f>
        <v>prev_meeting_iiif_url</v>
      </c>
      <c r="Z452" t="s">
        <v>33</v>
      </c>
      <c r="AA452" t="s">
        <v>1943</v>
      </c>
      <c r="AB452" t="str">
        <f>HYPERLINK("https://images.diginfra.net/framed3.html?imagesetuuid=85a72eaa-4faa-4148-a025-9b1c9fb4c2c1&amp;uri=https://images.diginfra.net/iiif/NL-HaNA_1.01.02/3860/NL-HaNA_1.01.02_3860_0033.jpg", "next_meeting_viewer_url")</f>
        <v>next_meeting_viewer_url</v>
      </c>
      <c r="AC452" t="str">
        <f>HYPERLINK("https://images.diginfra.net/iiif/NL-HaNA_1.01.02/3860/NL-HaNA_1.01.02_3860_0033.jpg/3395,925,1083,2445/full/0/default.jpg", "next_meeting_iiif_url")</f>
        <v>next_meeting_iiif_url</v>
      </c>
    </row>
    <row r="453" spans="1:29" x14ac:dyDescent="0.2">
      <c r="A453" t="s">
        <v>1944</v>
      </c>
      <c r="B453" t="s">
        <v>85</v>
      </c>
      <c r="C453" t="s">
        <v>1711</v>
      </c>
      <c r="D453" t="b">
        <v>1</v>
      </c>
      <c r="E453" t="b">
        <v>1</v>
      </c>
      <c r="I453" t="s">
        <v>1945</v>
      </c>
      <c r="J453">
        <v>3765</v>
      </c>
      <c r="K453">
        <v>678</v>
      </c>
      <c r="L453">
        <v>3609</v>
      </c>
      <c r="M453">
        <v>2982</v>
      </c>
      <c r="N453">
        <f t="shared" si="9"/>
        <v>1356</v>
      </c>
      <c r="O453">
        <v>1355</v>
      </c>
      <c r="P453">
        <v>1</v>
      </c>
      <c r="Q453">
        <v>2</v>
      </c>
      <c r="R453">
        <v>0</v>
      </c>
      <c r="S453" t="s">
        <v>33</v>
      </c>
      <c r="T453" t="str">
        <f>HYPERLINK("https://images.diginfra.net/framed3.html?imagesetuuid=4dfc1a1b-8cdf-4492-b411-5e67950ce484&amp;uri=https://images.diginfra.net/iiif/NL-HaNA_1.01.02/3765/NL-HaNA_1.01.02_3765_0678.jpg", "viewer_url")</f>
        <v>viewer_url</v>
      </c>
      <c r="U453" t="str">
        <f>HYPERLINK("https://images.diginfra.net/iiif/NL-HaNA_1.01.02/3765/NL-HaNA_1.01.02_3765_0678.jpg/3609,2982,713,361/full/0/default.jpg", "iiif_url")</f>
        <v>iiif_url</v>
      </c>
      <c r="Z453" t="s">
        <v>33</v>
      </c>
      <c r="AA453" t="s">
        <v>1946</v>
      </c>
      <c r="AB453" t="str">
        <f>HYPERLINK("https://images.diginfra.net/framed3.html?imagesetuuid=4dfc1a1b-8cdf-4492-b411-5e67950ce484&amp;uri=https://images.diginfra.net/iiif/NL-HaNA_1.01.02/3765/NL-HaNA_1.01.02_3765_0682.jpg", "next_meeting_viewer_url")</f>
        <v>next_meeting_viewer_url</v>
      </c>
      <c r="AC453" t="str">
        <f>HYPERLINK("https://images.diginfra.net/iiif/NL-HaNA_1.01.02/3765/NL-HaNA_1.01.02_3765_0682.jpg/1378,1904,1101,1464/full/0/default.jpg", "next_meeting_iiif_url")</f>
        <v>next_meeting_iiif_url</v>
      </c>
    </row>
    <row r="454" spans="1:29" x14ac:dyDescent="0.2">
      <c r="A454" t="s">
        <v>1947</v>
      </c>
      <c r="B454" t="s">
        <v>85</v>
      </c>
      <c r="C454" t="s">
        <v>1948</v>
      </c>
      <c r="D454" t="b">
        <v>1</v>
      </c>
      <c r="E454" t="b">
        <v>1</v>
      </c>
      <c r="I454" t="s">
        <v>1949</v>
      </c>
      <c r="J454">
        <v>3762</v>
      </c>
      <c r="K454">
        <v>577</v>
      </c>
      <c r="L454">
        <v>2434</v>
      </c>
      <c r="M454">
        <v>1628</v>
      </c>
      <c r="N454">
        <f t="shared" si="9"/>
        <v>1154</v>
      </c>
      <c r="O454">
        <v>1153</v>
      </c>
      <c r="P454">
        <v>0</v>
      </c>
      <c r="Q454">
        <v>2</v>
      </c>
      <c r="R454">
        <v>0</v>
      </c>
      <c r="S454" t="s">
        <v>33</v>
      </c>
      <c r="T454" t="str">
        <f>HYPERLINK("https://images.diginfra.net/framed3.html?imagesetuuid=df3dafee-b161-42ae-8ffe-6d7f9dbb63ed&amp;uri=https://images.diginfra.net/iiif/NL-HaNA_1.01.02/3762/NL-HaNA_1.01.02_3762_0577.jpg", "viewer_url")</f>
        <v>viewer_url</v>
      </c>
      <c r="U454" t="str">
        <f>HYPERLINK("https://images.diginfra.net/iiif/NL-HaNA_1.01.02/3762/NL-HaNA_1.01.02_3762_0577.jpg/2434,1628,893,1662/full/0/default.jpg", "iiif_url")</f>
        <v>iiif_url</v>
      </c>
      <c r="V454" t="s">
        <v>33</v>
      </c>
      <c r="W454" t="s">
        <v>1950</v>
      </c>
      <c r="X454" t="str">
        <f>HYPERLINK("https://images.diginfra.net/framed3.html?imagesetuuid=df3dafee-b161-42ae-8ffe-6d7f9dbb63ed&amp;uri=https://images.diginfra.net/iiif/NL-HaNA_1.01.02/3762/NL-HaNA_1.01.02_3762_0577.jpg", "prev_meeting_viewer_url")</f>
        <v>prev_meeting_viewer_url</v>
      </c>
      <c r="Y454" t="str">
        <f>HYPERLINK("https://images.diginfra.net/iiif/NL-HaNA_1.01.02/3762/NL-HaNA_1.01.02_3762_0577.jpg/356,327,1100,3087/full/0/default.jpg", "prev_meeting_iiif_url")</f>
        <v>prev_meeting_iiif_url</v>
      </c>
      <c r="Z454" t="s">
        <v>33</v>
      </c>
      <c r="AA454" t="s">
        <v>1951</v>
      </c>
      <c r="AB454" t="str">
        <f>HYPERLINK("https://images.diginfra.net/framed3.html?imagesetuuid=df3dafee-b161-42ae-8ffe-6d7f9dbb63ed&amp;uri=https://images.diginfra.net/iiif/NL-HaNA_1.01.02/3762/NL-HaNA_1.01.02_3762_0578.jpg", "next_meeting_viewer_url")</f>
        <v>next_meeting_viewer_url</v>
      </c>
      <c r="AC454" t="str">
        <f>HYPERLINK("https://images.diginfra.net/iiif/NL-HaNA_1.01.02/3762/NL-HaNA_1.01.02_3762_0578.jpg/3364,2387,1051,941/full/0/default.jpg", "next_meeting_iiif_url")</f>
        <v>next_meeting_iiif_url</v>
      </c>
    </row>
    <row r="455" spans="1:29" x14ac:dyDescent="0.2">
      <c r="A455" t="s">
        <v>1952</v>
      </c>
      <c r="B455" t="s">
        <v>48</v>
      </c>
      <c r="C455" t="s">
        <v>1953</v>
      </c>
      <c r="D455" t="b">
        <v>1</v>
      </c>
      <c r="E455" t="b">
        <v>1</v>
      </c>
      <c r="I455" t="s">
        <v>1954</v>
      </c>
      <c r="J455">
        <v>3850</v>
      </c>
      <c r="K455">
        <v>200</v>
      </c>
      <c r="L455">
        <v>1284</v>
      </c>
      <c r="M455">
        <v>816</v>
      </c>
      <c r="N455">
        <f t="shared" si="9"/>
        <v>400</v>
      </c>
      <c r="O455">
        <v>398</v>
      </c>
      <c r="P455">
        <v>1</v>
      </c>
      <c r="Q455">
        <v>1</v>
      </c>
      <c r="R455">
        <v>0</v>
      </c>
      <c r="S455" t="s">
        <v>33</v>
      </c>
      <c r="T455" t="str">
        <f>HYPERLINK("https://images.diginfra.net/framed3.html?imagesetuuid=c85930a5-cbb7-4080-aa48-a5bcfddd21f7&amp;uri=https://images.diginfra.net/iiif/NL-HaNA_1.01.02/3850/NL-HaNA_1.01.02_3850_0200.jpg", "viewer_url")</f>
        <v>viewer_url</v>
      </c>
      <c r="U455" t="str">
        <f>HYPERLINK("https://images.diginfra.net/iiif/NL-HaNA_1.01.02/3850/NL-HaNA_1.01.02_3850_0200.jpg/1284,816,895,2564/full/0/default.jpg", "iiif_url")</f>
        <v>iiif_url</v>
      </c>
      <c r="V455" t="s">
        <v>33</v>
      </c>
      <c r="W455" t="s">
        <v>1955</v>
      </c>
      <c r="X455" t="str">
        <f>HYPERLINK("https://images.diginfra.net/framed3.html?imagesetuuid=c85930a5-cbb7-4080-aa48-a5bcfddd21f7&amp;uri=https://images.diginfra.net/iiif/NL-HaNA_1.01.02/3850/NL-HaNA_1.01.02_3850_0197.jpg", "prev_meeting_viewer_url")</f>
        <v>prev_meeting_viewer_url</v>
      </c>
      <c r="Y455" t="str">
        <f>HYPERLINK("https://images.diginfra.net/iiif/NL-HaNA_1.01.02/3850/NL-HaNA_1.01.02_3850_0197.jpg/3304,1855,1020,1510/full/0/default.jpg", "prev_meeting_iiif_url")</f>
        <v>prev_meeting_iiif_url</v>
      </c>
      <c r="Z455" t="s">
        <v>44</v>
      </c>
      <c r="AA455" t="s">
        <v>1956</v>
      </c>
      <c r="AB455" t="str">
        <f>HYPERLINK("https://images.diginfra.net/framed3.html?imagesetuuid=c85930a5-cbb7-4080-aa48-a5bcfddd21f7&amp;uri=https://images.diginfra.net/iiif/NL-HaNA_1.01.02/3850/NL-HaNA_1.01.02_3850_0202.jpg", "next_meeting_viewer_url")</f>
        <v>next_meeting_viewer_url</v>
      </c>
      <c r="AC455" t="str">
        <f>HYPERLINK("https://images.diginfra.net/iiif/NL-HaNA_1.01.02/3850/NL-HaNA_1.01.02_3850_0202.jpg/3336,2092,1042,1294/full/0/default.jpg", "next_meeting_iiif_url")</f>
        <v>next_meeting_iiif_url</v>
      </c>
    </row>
    <row r="456" spans="1:29" x14ac:dyDescent="0.2">
      <c r="A456" t="s">
        <v>1957</v>
      </c>
      <c r="B456" t="s">
        <v>79</v>
      </c>
      <c r="C456" t="s">
        <v>1958</v>
      </c>
      <c r="D456" t="b">
        <v>1</v>
      </c>
      <c r="E456" t="b">
        <v>1</v>
      </c>
      <c r="I456" t="s">
        <v>1959</v>
      </c>
      <c r="J456">
        <v>3781</v>
      </c>
      <c r="K456">
        <v>403</v>
      </c>
      <c r="L456">
        <v>2653</v>
      </c>
      <c r="M456">
        <v>1545</v>
      </c>
      <c r="N456">
        <f t="shared" si="9"/>
        <v>806</v>
      </c>
      <c r="O456">
        <v>805</v>
      </c>
      <c r="P456">
        <v>1</v>
      </c>
      <c r="Q456">
        <v>1</v>
      </c>
      <c r="R456">
        <v>0</v>
      </c>
      <c r="S456" t="s">
        <v>33</v>
      </c>
      <c r="T456" t="str">
        <f>HYPERLINK("https://images.diginfra.net/framed3.html?imagesetuuid=7806433b-7f26-4d4e-8e76-37d108a188de&amp;uri=https://images.diginfra.net/iiif/NL-HaNA_1.01.02/3781/NL-HaNA_1.01.02_3781_0403.jpg", "viewer_url")</f>
        <v>viewer_url</v>
      </c>
      <c r="U456" t="str">
        <f>HYPERLINK("https://images.diginfra.net/iiif/NL-HaNA_1.01.02/3781/NL-HaNA_1.01.02_3781_0403.jpg/2653,1545,1850,1830/full/0/default.jpg", "iiif_url")</f>
        <v>iiif_url</v>
      </c>
      <c r="V456" t="s">
        <v>33</v>
      </c>
      <c r="W456" t="s">
        <v>1960</v>
      </c>
      <c r="X456" t="str">
        <f>HYPERLINK("https://images.diginfra.net/framed3.html?imagesetuuid=7806433b-7f26-4d4e-8e76-37d108a188de&amp;uri=https://images.diginfra.net/iiif/NL-HaNA_1.01.02/3781/NL-HaNA_1.01.02_3781_0403.jpg", "prev_meeting_viewer_url")</f>
        <v>prev_meeting_viewer_url</v>
      </c>
      <c r="Y456" t="str">
        <f>HYPERLINK("https://images.diginfra.net/iiif/NL-HaNA_1.01.02/3781/NL-HaNA_1.01.02_3781_0403.jpg/400,1402,1087,2045/full/0/default.jpg", "prev_meeting_iiif_url")</f>
        <v>prev_meeting_iiif_url</v>
      </c>
      <c r="Z456" t="s">
        <v>33</v>
      </c>
      <c r="AA456" t="s">
        <v>1961</v>
      </c>
      <c r="AB456" t="str">
        <f>HYPERLINK("https://images.diginfra.net/framed3.html?imagesetuuid=7806433b-7f26-4d4e-8e76-37d108a188de&amp;uri=https://images.diginfra.net/iiif/NL-HaNA_1.01.02/3781/NL-HaNA_1.01.02_3781_0404.jpg", "next_meeting_viewer_url")</f>
        <v>next_meeting_viewer_url</v>
      </c>
      <c r="AC456" t="str">
        <f>HYPERLINK("https://images.diginfra.net/iiif/NL-HaNA_1.01.02/3781/NL-HaNA_1.01.02_3781_0404.jpg/2538,2089,1092,1384/full/0/default.jpg", "next_meeting_iiif_url")</f>
        <v>next_meeting_iiif_url</v>
      </c>
    </row>
    <row r="457" spans="1:29" x14ac:dyDescent="0.2">
      <c r="A457" t="s">
        <v>1962</v>
      </c>
      <c r="B457" t="s">
        <v>48</v>
      </c>
      <c r="C457" t="s">
        <v>1963</v>
      </c>
      <c r="D457" t="b">
        <v>1</v>
      </c>
      <c r="E457" t="b">
        <v>1</v>
      </c>
      <c r="I457" t="s">
        <v>1964</v>
      </c>
      <c r="J457">
        <v>3806</v>
      </c>
      <c r="K457">
        <v>412</v>
      </c>
      <c r="L457">
        <v>3490</v>
      </c>
      <c r="M457">
        <v>1632</v>
      </c>
      <c r="N457">
        <f t="shared" si="9"/>
        <v>824</v>
      </c>
      <c r="O457">
        <v>823</v>
      </c>
      <c r="P457">
        <v>1</v>
      </c>
      <c r="Q457">
        <v>2</v>
      </c>
      <c r="R457">
        <v>0</v>
      </c>
      <c r="S457" t="s">
        <v>33</v>
      </c>
      <c r="T457" t="str">
        <f>HYPERLINK("https://images.diginfra.net/framed3.html?imagesetuuid=0c00a1f2-d59c-4408-905f-fe388b02204f&amp;uri=https://images.diginfra.net/iiif/NL-HaNA_1.01.02/3806/NL-HaNA_1.01.02_3806_0412.jpg", "viewer_url")</f>
        <v>viewer_url</v>
      </c>
      <c r="U457" t="str">
        <f>HYPERLINK("https://images.diginfra.net/iiif/NL-HaNA_1.01.02/3806/NL-HaNA_1.01.02_3806_0412.jpg/3490,1632,906,1675/full/0/default.jpg", "iiif_url")</f>
        <v>iiif_url</v>
      </c>
      <c r="V457" t="s">
        <v>33</v>
      </c>
      <c r="W457" t="s">
        <v>1965</v>
      </c>
      <c r="X457" t="str">
        <f>HYPERLINK("https://images.diginfra.net/framed3.html?imagesetuuid=0c00a1f2-d59c-4408-905f-fe388b02204f&amp;uri=https://images.diginfra.net/iiif/NL-HaNA_1.01.02/3806/NL-HaNA_1.01.02_3806_0411.jpg", "prev_meeting_viewer_url")</f>
        <v>prev_meeting_viewer_url</v>
      </c>
      <c r="Y457" t="str">
        <f>HYPERLINK("https://images.diginfra.net/iiif/NL-HaNA_1.01.02/3806/NL-HaNA_1.01.02_3806_0411.jpg/1290,2630,1055,712/full/0/default.jpg", "prev_meeting_iiif_url")</f>
        <v>prev_meeting_iiif_url</v>
      </c>
      <c r="Z457" t="s">
        <v>33</v>
      </c>
      <c r="AA457" t="s">
        <v>1966</v>
      </c>
      <c r="AB457" t="str">
        <f>HYPERLINK("https://images.diginfra.net/framed3.html?imagesetuuid=0c00a1f2-d59c-4408-905f-fe388b02204f&amp;uri=https://images.diginfra.net/iiif/NL-HaNA_1.01.02/3806/NL-HaNA_1.01.02_3806_0414.jpg", "next_meeting_viewer_url")</f>
        <v>next_meeting_viewer_url</v>
      </c>
      <c r="AC457" t="str">
        <f>HYPERLINK("https://images.diginfra.net/iiif/NL-HaNA_1.01.02/3806/NL-HaNA_1.01.02_3806_0414.jpg/2456,1174,1089,2238/full/0/default.jpg", "next_meeting_iiif_url")</f>
        <v>next_meeting_iiif_url</v>
      </c>
    </row>
    <row r="458" spans="1:29" x14ac:dyDescent="0.2">
      <c r="A458" t="s">
        <v>1967</v>
      </c>
      <c r="B458" t="s">
        <v>48</v>
      </c>
      <c r="C458" t="s">
        <v>1968</v>
      </c>
      <c r="D458" t="b">
        <v>1</v>
      </c>
      <c r="E458" t="b">
        <v>1</v>
      </c>
      <c r="I458" t="s">
        <v>1969</v>
      </c>
      <c r="J458">
        <v>3805</v>
      </c>
      <c r="K458">
        <v>253</v>
      </c>
      <c r="L458">
        <v>1314</v>
      </c>
      <c r="M458">
        <v>377</v>
      </c>
      <c r="N458">
        <f t="shared" si="9"/>
        <v>506</v>
      </c>
      <c r="O458">
        <v>504</v>
      </c>
      <c r="P458">
        <v>1</v>
      </c>
      <c r="Q458">
        <v>0</v>
      </c>
      <c r="R458">
        <v>0</v>
      </c>
      <c r="S458" t="s">
        <v>33</v>
      </c>
      <c r="T458" t="str">
        <f>HYPERLINK("https://images.diginfra.net/framed3.html?imagesetuuid=e8c5617e-c060-4d57-a0d9-c22a4796ba85&amp;uri=https://images.diginfra.net/iiif/NL-HaNA_1.01.02/3805/NL-HaNA_1.01.02_3805_0253.jpg", "viewer_url")</f>
        <v>viewer_url</v>
      </c>
      <c r="U458" t="str">
        <f>HYPERLINK("https://images.diginfra.net/iiif/NL-HaNA_1.01.02/3805/NL-HaNA_1.01.02_3805_0253.jpg/1314,377,922,2880/full/0/default.jpg", "iiif_url")</f>
        <v>iiif_url</v>
      </c>
      <c r="V458" t="s">
        <v>33</v>
      </c>
      <c r="X458" t="str">
        <f>HYPERLINK("https://images.diginfra.net/framed3.html?imagesetuuid=e8c5617e-c060-4d57-a0d9-c22a4796ba85&amp;uri=https://images.diginfra.net/iiif/NL-HaNA_1.01.02/3805/NL-HaNA_1.01.02_3805_0250.jpg", "prev_meeting_viewer_url")</f>
        <v>prev_meeting_viewer_url</v>
      </c>
      <c r="Y458" t="str">
        <f>HYPERLINK("https://images.diginfra.net/iiif/NL-HaNA_1.01.02/3805/NL-HaNA_1.01.02_3805_0250.jpg/1195,347,1115,2979/full/0/default.jpg", "prev_meeting_iiif_url")</f>
        <v>prev_meeting_iiif_url</v>
      </c>
      <c r="Z458" t="s">
        <v>33</v>
      </c>
      <c r="AA458" t="s">
        <v>1970</v>
      </c>
      <c r="AB458" t="str">
        <f>HYPERLINK("https://images.diginfra.net/framed3.html?imagesetuuid=e8c5617e-c060-4d57-a0d9-c22a4796ba85&amp;uri=https://images.diginfra.net/iiif/NL-HaNA_1.01.02/3805/NL-HaNA_1.01.02_3805_0253.jpg", "next_meeting_viewer_url")</f>
        <v>next_meeting_viewer_url</v>
      </c>
      <c r="AC458" t="str">
        <f>HYPERLINK("https://images.diginfra.net/iiif/NL-HaNA_1.01.02/3805/NL-HaNA_1.01.02_3805_0253.jpg/2386,1112,1111,2307/full/0/default.jpg", "next_meeting_iiif_url")</f>
        <v>next_meeting_iiif_url</v>
      </c>
    </row>
    <row r="459" spans="1:29" x14ac:dyDescent="0.2">
      <c r="A459" t="s">
        <v>1971</v>
      </c>
      <c r="B459" t="s">
        <v>63</v>
      </c>
      <c r="D459" t="b">
        <v>0</v>
      </c>
      <c r="E459" t="b">
        <v>0</v>
      </c>
      <c r="I459" t="s">
        <v>1972</v>
      </c>
      <c r="J459">
        <v>3848</v>
      </c>
      <c r="K459">
        <v>370</v>
      </c>
      <c r="N459">
        <f t="shared" si="9"/>
        <v>740</v>
      </c>
      <c r="O459">
        <v>739</v>
      </c>
      <c r="P459">
        <v>0</v>
      </c>
      <c r="Q459">
        <v>2</v>
      </c>
      <c r="R459">
        <v>0</v>
      </c>
      <c r="S459" t="s">
        <v>33</v>
      </c>
      <c r="T459" t="str">
        <f>HYPERLINK("https://images.diginfra.net/framed3.html?imagesetuuid=0359a1ea-7930-4de5-8687-7aa11d9043bd&amp;uri=https://images.diginfra.net/iiif/NL-HaNA_1.01.02/3848/NL-HaNA_1.01.02_3848_0370.jpg", "viewer_url")</f>
        <v>viewer_url</v>
      </c>
      <c r="U459" t="str">
        <f>HYPERLINK("https://images.diginfra.net/iiif/NL-HaNA_1.01.02/3848/NL-HaNA_1.01.02_3848_0370.jpg/3239,1090,1071,2354/full/0/default.jpg", "iiif_url")</f>
        <v>iiif_url</v>
      </c>
      <c r="V459" t="s">
        <v>33</v>
      </c>
      <c r="W459" t="s">
        <v>1973</v>
      </c>
      <c r="X459" t="str">
        <f>HYPERLINK("https://images.diginfra.net/framed3.html?imagesetuuid=0359a1ea-7930-4de5-8687-7aa11d9043bd&amp;uri=https://images.diginfra.net/iiif/NL-HaNA_1.01.02/3848/NL-HaNA_1.01.02_3848_0364.jpg", "prev_meeting_viewer_url")</f>
        <v>prev_meeting_viewer_url</v>
      </c>
      <c r="Y459" t="str">
        <f>HYPERLINK("https://images.diginfra.net/iiif/NL-HaNA_1.01.02/3848/NL-HaNA_1.01.02_3848_0364.jpg/2353,872,1023,1868/full/0/default.jpg", "prev_meeting_iiif_url")</f>
        <v>prev_meeting_iiif_url</v>
      </c>
      <c r="Z459" t="s">
        <v>33</v>
      </c>
      <c r="AA459" t="s">
        <v>1974</v>
      </c>
      <c r="AB459" t="str">
        <f>HYPERLINK("https://images.diginfra.net/framed3.html?imagesetuuid=0359a1ea-7930-4de5-8687-7aa11d9043bd&amp;uri=https://images.diginfra.net/iiif/NL-HaNA_1.01.02/3848/NL-HaNA_1.01.02_3848_0370.jpg", "next_meeting_viewer_url")</f>
        <v>next_meeting_viewer_url</v>
      </c>
      <c r="AC459" t="str">
        <f>HYPERLINK("https://images.diginfra.net/iiif/NL-HaNA_1.01.02/3848/NL-HaNA_1.01.02_3848_0370.jpg/3239,1090,1071,2354/full/0/default.jpg", "next_meeting_iiif_url")</f>
        <v>next_meeting_iiif_url</v>
      </c>
    </row>
    <row r="460" spans="1:29" x14ac:dyDescent="0.2">
      <c r="A460" t="s">
        <v>1975</v>
      </c>
      <c r="B460" t="s">
        <v>63</v>
      </c>
      <c r="D460" t="b">
        <v>0</v>
      </c>
      <c r="E460" t="b">
        <v>0</v>
      </c>
      <c r="I460" t="s">
        <v>1976</v>
      </c>
      <c r="J460">
        <v>3786</v>
      </c>
      <c r="K460">
        <v>69</v>
      </c>
      <c r="N460">
        <f t="shared" si="9"/>
        <v>138</v>
      </c>
      <c r="O460">
        <v>137</v>
      </c>
      <c r="P460">
        <v>1</v>
      </c>
      <c r="Q460">
        <v>1</v>
      </c>
      <c r="R460">
        <v>0</v>
      </c>
      <c r="S460" t="s">
        <v>33</v>
      </c>
      <c r="T460" t="str">
        <f>HYPERLINK("https://images.diginfra.net/framed3.html?imagesetuuid=508661ee-474e-44be-a74a-8aac34348aeb&amp;uri=https://images.diginfra.net/iiif/NL-HaNA_1.01.02/3786/NL-HaNA_1.01.02_3786_0069.jpg", "viewer_url")</f>
        <v>viewer_url</v>
      </c>
      <c r="U460" t="str">
        <f>HYPERLINK("https://images.diginfra.net/iiif/NL-HaNA_1.01.02/3786/NL-HaNA_1.01.02_3786_0069.jpg/3347,615,1100,2859/full/0/default.jpg", "iiif_url")</f>
        <v>iiif_url</v>
      </c>
      <c r="V460" t="s">
        <v>33</v>
      </c>
      <c r="W460" t="s">
        <v>1477</v>
      </c>
      <c r="X460" t="str">
        <f>HYPERLINK("https://images.diginfra.net/framed3.html?imagesetuuid=508661ee-474e-44be-a74a-8aac34348aeb&amp;uri=https://images.diginfra.net/iiif/NL-HaNA_1.01.02/3786/NL-HaNA_1.01.02_3786_0069.jpg", "prev_meeting_viewer_url")</f>
        <v>prev_meeting_viewer_url</v>
      </c>
      <c r="Y460" t="str">
        <f>HYPERLINK("https://images.diginfra.net/iiif/NL-HaNA_1.01.02/3786/NL-HaNA_1.01.02_3786_0069.jpg/340,1084,1124,2350/full/0/default.jpg", "prev_meeting_iiif_url")</f>
        <v>prev_meeting_iiif_url</v>
      </c>
      <c r="Z460" t="s">
        <v>33</v>
      </c>
      <c r="AA460" t="s">
        <v>1977</v>
      </c>
      <c r="AB460" t="str">
        <f>HYPERLINK("https://images.diginfra.net/framed3.html?imagesetuuid=508661ee-474e-44be-a74a-8aac34348aeb&amp;uri=https://images.diginfra.net/iiif/NL-HaNA_1.01.02/3786/NL-HaNA_1.01.02_3786_0069.jpg", "next_meeting_viewer_url")</f>
        <v>next_meeting_viewer_url</v>
      </c>
      <c r="AC460" t="str">
        <f>HYPERLINK("https://images.diginfra.net/iiif/NL-HaNA_1.01.02/3786/NL-HaNA_1.01.02_3786_0069.jpg/3347,615,1100,2859/full/0/default.jpg", "next_meeting_iiif_url")</f>
        <v>next_meeting_iiif_url</v>
      </c>
    </row>
    <row r="461" spans="1:29" x14ac:dyDescent="0.2">
      <c r="A461" t="s">
        <v>1978</v>
      </c>
      <c r="B461" t="s">
        <v>79</v>
      </c>
      <c r="C461" t="s">
        <v>1979</v>
      </c>
      <c r="D461" t="b">
        <v>1</v>
      </c>
      <c r="E461" t="b">
        <v>1</v>
      </c>
      <c r="I461" t="s">
        <v>1980</v>
      </c>
      <c r="J461">
        <v>3765</v>
      </c>
      <c r="K461">
        <v>354</v>
      </c>
      <c r="L461">
        <v>393</v>
      </c>
      <c r="M461">
        <v>2495</v>
      </c>
      <c r="N461">
        <f t="shared" si="9"/>
        <v>708</v>
      </c>
      <c r="O461">
        <v>706</v>
      </c>
      <c r="P461">
        <v>0</v>
      </c>
      <c r="Q461">
        <v>1</v>
      </c>
      <c r="R461">
        <v>0</v>
      </c>
      <c r="S461" t="s">
        <v>33</v>
      </c>
      <c r="T461" t="str">
        <f>HYPERLINK("https://images.diginfra.net/framed3.html?imagesetuuid=4dfc1a1b-8cdf-4492-b411-5e67950ce484&amp;uri=https://images.diginfra.net/iiif/NL-HaNA_1.01.02/3765/NL-HaNA_1.01.02_3765_0354.jpg", "viewer_url")</f>
        <v>viewer_url</v>
      </c>
      <c r="U461" t="str">
        <f>HYPERLINK("https://images.diginfra.net/iiif/NL-HaNA_1.01.02/3765/NL-HaNA_1.01.02_3765_0354.jpg/393,2495,865,785/full/0/default.jpg", "iiif_url")</f>
        <v>iiif_url</v>
      </c>
      <c r="V461" t="s">
        <v>33</v>
      </c>
      <c r="W461" t="s">
        <v>1981</v>
      </c>
      <c r="X461" t="str">
        <f>HYPERLINK("https://images.diginfra.net/framed3.html?imagesetuuid=4dfc1a1b-8cdf-4492-b411-5e67950ce484&amp;uri=https://images.diginfra.net/iiif/NL-HaNA_1.01.02/3765/NL-HaNA_1.01.02_3765_0352.jpg", "prev_meeting_viewer_url")</f>
        <v>prev_meeting_viewer_url</v>
      </c>
      <c r="Y461" t="str">
        <f>HYPERLINK("https://images.diginfra.net/iiif/NL-HaNA_1.01.02/3765/NL-HaNA_1.01.02_3765_0352.jpg/434,3045,743,305/full/0/default.jpg", "prev_meeting_iiif_url")</f>
        <v>prev_meeting_iiif_url</v>
      </c>
      <c r="Z461" t="s">
        <v>33</v>
      </c>
      <c r="AA461" t="s">
        <v>1982</v>
      </c>
      <c r="AB461" t="str">
        <f>HYPERLINK("https://images.diginfra.net/framed3.html?imagesetuuid=4dfc1a1b-8cdf-4492-b411-5e67950ce484&amp;uri=https://images.diginfra.net/iiif/NL-HaNA_1.01.02/3765/NL-HaNA_1.01.02_3765_0357.jpg", "next_meeting_viewer_url")</f>
        <v>next_meeting_viewer_url</v>
      </c>
      <c r="AC461" t="str">
        <f>HYPERLINK("https://images.diginfra.net/iiif/NL-HaNA_1.01.02/3765/NL-HaNA_1.01.02_3765_0357.jpg/1255,899,1119,2455/full/0/default.jpg", "next_meeting_iiif_url")</f>
        <v>next_meeting_iiif_url</v>
      </c>
    </row>
    <row r="462" spans="1:29" x14ac:dyDescent="0.2">
      <c r="A462" t="s">
        <v>1983</v>
      </c>
      <c r="B462" t="s">
        <v>59</v>
      </c>
      <c r="C462" t="s">
        <v>1984</v>
      </c>
      <c r="D462" t="b">
        <v>1</v>
      </c>
      <c r="E462" t="b">
        <v>1</v>
      </c>
      <c r="I462" t="s">
        <v>1985</v>
      </c>
      <c r="J462">
        <v>3800</v>
      </c>
      <c r="K462">
        <v>384</v>
      </c>
      <c r="L462">
        <v>2442</v>
      </c>
      <c r="M462">
        <v>2315</v>
      </c>
      <c r="N462">
        <f t="shared" si="9"/>
        <v>768</v>
      </c>
      <c r="O462">
        <v>767</v>
      </c>
      <c r="P462">
        <v>0</v>
      </c>
      <c r="Q462">
        <v>1</v>
      </c>
      <c r="R462">
        <v>0</v>
      </c>
      <c r="S462" t="s">
        <v>33</v>
      </c>
      <c r="T462" t="str">
        <f>HYPERLINK("https://images.diginfra.net/framed3.html?imagesetuuid=a9adb8ed-3212-4745-a472-51257845b9e2&amp;uri=https://images.diginfra.net/iiif/NL-HaNA_1.01.02/3800/NL-HaNA_1.01.02_3800_0384.jpg", "viewer_url")</f>
        <v>viewer_url</v>
      </c>
      <c r="U462" t="str">
        <f>HYPERLINK("https://images.diginfra.net/iiif/NL-HaNA_1.01.02/3800/NL-HaNA_1.01.02_3800_0384.jpg/2442,2315,905,1068/full/0/default.jpg", "iiif_url")</f>
        <v>iiif_url</v>
      </c>
      <c r="V462" t="s">
        <v>33</v>
      </c>
      <c r="W462" t="s">
        <v>1986</v>
      </c>
      <c r="X462" t="str">
        <f>HYPERLINK("https://images.diginfra.net/framed3.html?imagesetuuid=a9adb8ed-3212-4745-a472-51257845b9e2&amp;uri=https://images.diginfra.net/iiif/NL-HaNA_1.01.02/3800/NL-HaNA_1.01.02_3800_0382.jpg", "prev_meeting_viewer_url")</f>
        <v>prev_meeting_viewer_url</v>
      </c>
      <c r="Y462" t="str">
        <f>HYPERLINK("https://images.diginfra.net/iiif/NL-HaNA_1.01.02/3800/NL-HaNA_1.01.02_3800_0382.jpg/2384,2216,1036,1144/full/0/default.jpg", "prev_meeting_iiif_url")</f>
        <v>prev_meeting_iiif_url</v>
      </c>
      <c r="Z462" t="s">
        <v>33</v>
      </c>
      <c r="AA462" t="s">
        <v>1987</v>
      </c>
      <c r="AB462" t="str">
        <f>HYPERLINK("https://images.diginfra.net/framed3.html?imagesetuuid=a9adb8ed-3212-4745-a472-51257845b9e2&amp;uri=https://images.diginfra.net/iiif/NL-HaNA_1.01.02/3800/NL-HaNA_1.01.02_3800_0385.jpg", "next_meeting_viewer_url")</f>
        <v>next_meeting_viewer_url</v>
      </c>
      <c r="AC462" t="str">
        <f>HYPERLINK("https://images.diginfra.net/iiif/NL-HaNA_1.01.02/3800/NL-HaNA_1.01.02_3800_0385.jpg/1198,1426,1091,2003/full/0/default.jpg", "next_meeting_iiif_url")</f>
        <v>next_meeting_iiif_url</v>
      </c>
    </row>
    <row r="463" spans="1:29" x14ac:dyDescent="0.2">
      <c r="A463" t="s">
        <v>1988</v>
      </c>
      <c r="B463" t="s">
        <v>79</v>
      </c>
      <c r="C463" t="s">
        <v>1989</v>
      </c>
      <c r="D463" t="b">
        <v>1</v>
      </c>
      <c r="E463" t="b">
        <v>1</v>
      </c>
      <c r="I463" t="s">
        <v>1990</v>
      </c>
      <c r="J463">
        <v>3817</v>
      </c>
      <c r="K463">
        <v>516</v>
      </c>
      <c r="L463">
        <v>2474</v>
      </c>
      <c r="M463">
        <v>2851</v>
      </c>
      <c r="N463">
        <f t="shared" si="9"/>
        <v>1032</v>
      </c>
      <c r="O463">
        <v>1030</v>
      </c>
      <c r="P463">
        <v>0</v>
      </c>
      <c r="Q463">
        <v>2</v>
      </c>
      <c r="R463">
        <v>0</v>
      </c>
      <c r="S463" t="s">
        <v>33</v>
      </c>
      <c r="T463" t="str">
        <f>HYPERLINK("https://images.diginfra.net/framed3.html?imagesetuuid=c13c7ed6-75ba-4433-9b44-0db683995fb3&amp;uri=https://images.diginfra.net/iiif/NL-HaNA_1.01.02/3817/NL-HaNA_1.01.02_3817_0516.jpg", "viewer_url")</f>
        <v>viewer_url</v>
      </c>
      <c r="U463" t="str">
        <f>HYPERLINK("https://images.diginfra.net/iiif/NL-HaNA_1.01.02/3817/NL-HaNA_1.01.02_3817_0510.jpg/2474,2851,854,383/full/0/default.jpg", "iiif_url")</f>
        <v>iiif_url</v>
      </c>
      <c r="V463" t="s">
        <v>33</v>
      </c>
      <c r="W463" t="s">
        <v>1991</v>
      </c>
      <c r="X463" t="str">
        <f>HYPERLINK("https://images.diginfra.net/framed3.html?imagesetuuid=c13c7ed6-75ba-4433-9b44-0db683995fb3&amp;uri=https://images.diginfra.net/iiif/NL-HaNA_1.01.02/3817/NL-HaNA_1.01.02_3817_0515.jpg", "prev_meeting_viewer_url")</f>
        <v>prev_meeting_viewer_url</v>
      </c>
      <c r="Y463" t="str">
        <f>HYPERLINK("https://images.diginfra.net/iiif/NL-HaNA_1.01.02/3817/NL-HaNA_1.01.02_3817_0515.jpg/200,2588,1114,742/full/0/default.jpg", "prev_meeting_iiif_url")</f>
        <v>prev_meeting_iiif_url</v>
      </c>
      <c r="Z463" t="s">
        <v>33</v>
      </c>
      <c r="AA463" t="s">
        <v>1992</v>
      </c>
      <c r="AB463" t="str">
        <f>HYPERLINK("https://images.diginfra.net/framed3.html?imagesetuuid=c13c7ed6-75ba-4433-9b44-0db683995fb3&amp;uri=https://images.diginfra.net/iiif/NL-HaNA_1.01.02/3817/NL-HaNA_1.01.02_3817_0517.jpg", "next_meeting_viewer_url")</f>
        <v>next_meeting_viewer_url</v>
      </c>
      <c r="AC463" t="str">
        <f>HYPERLINK("https://images.diginfra.net/iiif/NL-HaNA_1.01.02/3817/NL-HaNA_1.01.02_3817_0517.jpg/212,2646,1096,719/full/0/default.jpg", "next_meeting_iiif_url")</f>
        <v>next_meeting_iiif_url</v>
      </c>
    </row>
    <row r="464" spans="1:29" x14ac:dyDescent="0.2">
      <c r="A464" t="s">
        <v>1993</v>
      </c>
      <c r="B464" t="s">
        <v>63</v>
      </c>
      <c r="D464" t="b">
        <v>0</v>
      </c>
      <c r="E464" t="b">
        <v>0</v>
      </c>
      <c r="I464" t="s">
        <v>1994</v>
      </c>
      <c r="J464">
        <v>3793</v>
      </c>
      <c r="K464">
        <v>323</v>
      </c>
      <c r="N464">
        <f t="shared" si="9"/>
        <v>646</v>
      </c>
      <c r="O464">
        <v>644</v>
      </c>
      <c r="P464">
        <v>1</v>
      </c>
      <c r="Q464">
        <v>2</v>
      </c>
      <c r="R464">
        <v>0</v>
      </c>
      <c r="S464" t="s">
        <v>33</v>
      </c>
      <c r="T464" t="str">
        <f>HYPERLINK("https://images.diginfra.net/framed3.html?imagesetuuid=8305a309-5c79-4c0c-a981-7e350c76be32&amp;uri=https://images.diginfra.net/iiif/NL-HaNA_1.01.02/3793/NL-HaNA_1.01.02_3793_0323.jpg", "viewer_url")</f>
        <v>viewer_url</v>
      </c>
      <c r="U464" t="str">
        <f>HYPERLINK("https://images.diginfra.net/iiif/NL-HaNA_1.01.02/3793/NL-HaNA_1.01.02_3793_0323.jpg/1202,1996,1090,1362/full/0/default.jpg", "iiif_url")</f>
        <v>iiif_url</v>
      </c>
      <c r="V464" t="s">
        <v>33</v>
      </c>
      <c r="W464" t="s">
        <v>1995</v>
      </c>
      <c r="X464" t="str">
        <f>HYPERLINK("https://images.diginfra.net/framed3.html?imagesetuuid=8305a309-5c79-4c0c-a981-7e350c76be32&amp;uri=https://images.diginfra.net/iiif/NL-HaNA_1.01.02/3793/NL-HaNA_1.01.02_3793_0322.jpg", "prev_meeting_viewer_url")</f>
        <v>prev_meeting_viewer_url</v>
      </c>
      <c r="Y464" t="str">
        <f>HYPERLINK("https://images.diginfra.net/iiif/NL-HaNA_1.01.02/3793/NL-HaNA_1.01.02_3793_0322.jpg/286,336,1103,3091/full/0/default.jpg", "prev_meeting_iiif_url")</f>
        <v>prev_meeting_iiif_url</v>
      </c>
      <c r="Z464" t="s">
        <v>33</v>
      </c>
      <c r="AA464" t="s">
        <v>1996</v>
      </c>
      <c r="AB464" t="str">
        <f>HYPERLINK("https://images.diginfra.net/framed3.html?imagesetuuid=8305a309-5c79-4c0c-a981-7e350c76be32&amp;uri=https://images.diginfra.net/iiif/NL-HaNA_1.01.02/3793/NL-HaNA_1.01.02_3793_0323.jpg", "next_meeting_viewer_url")</f>
        <v>next_meeting_viewer_url</v>
      </c>
      <c r="AC464" t="str">
        <f>HYPERLINK("https://images.diginfra.net/iiif/NL-HaNA_1.01.02/3793/NL-HaNA_1.01.02_3793_0323.jpg/1202,1996,1090,1362/full/0/default.jpg", "next_meeting_iiif_url")</f>
        <v>next_meeting_iiif_url</v>
      </c>
    </row>
    <row r="465" spans="1:29" x14ac:dyDescent="0.2">
      <c r="A465" t="s">
        <v>1997</v>
      </c>
      <c r="B465" t="s">
        <v>37</v>
      </c>
      <c r="C465" t="s">
        <v>1998</v>
      </c>
      <c r="D465" t="b">
        <v>1</v>
      </c>
      <c r="E465" t="b">
        <v>1</v>
      </c>
      <c r="I465" t="s">
        <v>1999</v>
      </c>
      <c r="J465">
        <v>3765</v>
      </c>
      <c r="K465">
        <v>291</v>
      </c>
      <c r="L465">
        <v>2621</v>
      </c>
      <c r="M465">
        <v>2553</v>
      </c>
      <c r="N465">
        <f t="shared" si="9"/>
        <v>582</v>
      </c>
      <c r="O465">
        <v>581</v>
      </c>
      <c r="P465">
        <v>0</v>
      </c>
      <c r="Q465">
        <v>1</v>
      </c>
      <c r="R465">
        <v>0</v>
      </c>
      <c r="S465" t="s">
        <v>33</v>
      </c>
      <c r="T465" t="str">
        <f>HYPERLINK("https://images.diginfra.net/framed3.html?imagesetuuid=4dfc1a1b-8cdf-4492-b411-5e67950ce484&amp;uri=https://images.diginfra.net/iiif/NL-HaNA_1.01.02/3765/NL-HaNA_1.01.02_3765_0291.jpg", "viewer_url")</f>
        <v>viewer_url</v>
      </c>
      <c r="U465" t="str">
        <f>HYPERLINK("https://images.diginfra.net/iiif/NL-HaNA_1.01.02/3765/NL-HaNA_1.01.02_3765_0291.jpg/2621,2553,905,764/full/0/default.jpg", "iiif_url")</f>
        <v>iiif_url</v>
      </c>
      <c r="V465" t="s">
        <v>33</v>
      </c>
      <c r="W465" t="s">
        <v>2000</v>
      </c>
      <c r="X465" t="str">
        <f>HYPERLINK("https://images.diginfra.net/framed3.html?imagesetuuid=4dfc1a1b-8cdf-4492-b411-5e67950ce484&amp;uri=https://images.diginfra.net/iiif/NL-HaNA_1.01.02/3765/NL-HaNA_1.01.02_3765_0288.jpg", "prev_meeting_viewer_url")</f>
        <v>prev_meeting_viewer_url</v>
      </c>
      <c r="Y465" t="str">
        <f>HYPERLINK("https://images.diginfra.net/iiif/NL-HaNA_1.01.02/3765/NL-HaNA_1.01.02_3765_0288.jpg/3474,2037,1093,1329/full/0/default.jpg", "prev_meeting_iiif_url")</f>
        <v>prev_meeting_iiif_url</v>
      </c>
      <c r="Z465" t="s">
        <v>33</v>
      </c>
      <c r="AA465" t="s">
        <v>2001</v>
      </c>
      <c r="AB465" t="str">
        <f>HYPERLINK("https://images.diginfra.net/framed3.html?imagesetuuid=4dfc1a1b-8cdf-4492-b411-5e67950ce484&amp;uri=https://images.diginfra.net/iiif/NL-HaNA_1.01.02/3765/NL-HaNA_1.01.02_3765_0293.jpg", "next_meeting_viewer_url")</f>
        <v>next_meeting_viewer_url</v>
      </c>
      <c r="AC465" t="str">
        <f>HYPERLINK("https://images.diginfra.net/iiif/NL-HaNA_1.01.02/3765/NL-HaNA_1.01.02_3765_0293.jpg/1153,1729,1107,1673/full/0/default.jpg", "next_meeting_iiif_url")</f>
        <v>next_meeting_iiif_url</v>
      </c>
    </row>
    <row r="466" spans="1:29" x14ac:dyDescent="0.2">
      <c r="A466" t="s">
        <v>2002</v>
      </c>
      <c r="B466" t="s">
        <v>79</v>
      </c>
      <c r="C466" t="s">
        <v>2003</v>
      </c>
      <c r="D466" t="b">
        <v>1</v>
      </c>
      <c r="E466" t="b">
        <v>1</v>
      </c>
      <c r="I466" t="s">
        <v>2004</v>
      </c>
      <c r="J466">
        <v>3771</v>
      </c>
      <c r="K466">
        <v>134</v>
      </c>
      <c r="L466">
        <v>2522</v>
      </c>
      <c r="M466">
        <v>2239</v>
      </c>
      <c r="N466">
        <f t="shared" si="9"/>
        <v>268</v>
      </c>
      <c r="O466">
        <v>267</v>
      </c>
      <c r="P466">
        <v>0</v>
      </c>
      <c r="Q466">
        <v>1</v>
      </c>
      <c r="R466">
        <v>0</v>
      </c>
      <c r="S466" t="s">
        <v>33</v>
      </c>
      <c r="T466" t="str">
        <f>HYPERLINK("https://images.diginfra.net/framed3.html?imagesetuuid=16b7bf4c-5e05-4e5e-b109-cf178ead6c3f&amp;uri=https://images.diginfra.net/iiif/NL-HaNA_1.01.02/3771/NL-HaNA_1.01.02_3771_0134.jpg", "viewer_url")</f>
        <v>viewer_url</v>
      </c>
      <c r="U466" t="str">
        <f>HYPERLINK("https://images.diginfra.net/iiif/NL-HaNA_1.01.02/3771/NL-HaNA_1.01.02_3771_0134.jpg/2522,2239,919,1084/full/0/default.jpg", "iiif_url")</f>
        <v>iiif_url</v>
      </c>
      <c r="V466" t="s">
        <v>33</v>
      </c>
      <c r="W466" t="s">
        <v>2005</v>
      </c>
      <c r="X466" t="str">
        <f>HYPERLINK("https://images.diginfra.net/framed3.html?imagesetuuid=16b7bf4c-5e05-4e5e-b109-cf178ead6c3f&amp;uri=https://images.diginfra.net/iiif/NL-HaNA_1.01.02/3771/NL-HaNA_1.01.02_3771_0131.jpg", "prev_meeting_viewer_url")</f>
        <v>prev_meeting_viewer_url</v>
      </c>
      <c r="Y466" t="str">
        <f>HYPERLINK("https://images.diginfra.net/iiif/NL-HaNA_1.01.02/3771/NL-HaNA_1.01.02_3771_0131.jpg/3447,1538,1078,1920/full/0/default.jpg", "prev_meeting_iiif_url")</f>
        <v>prev_meeting_iiif_url</v>
      </c>
      <c r="Z466" t="s">
        <v>33</v>
      </c>
      <c r="AA466" t="s">
        <v>2006</v>
      </c>
      <c r="AB466" t="str">
        <f>HYPERLINK("https://images.diginfra.net/framed3.html?imagesetuuid=16b7bf4c-5e05-4e5e-b109-cf178ead6c3f&amp;uri=https://images.diginfra.net/iiif/NL-HaNA_1.01.02/3771/NL-HaNA_1.01.02_3771_0135.jpg", "next_meeting_viewer_url")</f>
        <v>next_meeting_viewer_url</v>
      </c>
      <c r="AC466" t="str">
        <f>HYPERLINK("https://images.diginfra.net/iiif/NL-HaNA_1.01.02/3771/NL-HaNA_1.01.02_3771_0135.jpg/3430,689,1098,2679/full/0/default.jpg", "next_meeting_iiif_url")</f>
        <v>next_meeting_iiif_url</v>
      </c>
    </row>
    <row r="467" spans="1:29" x14ac:dyDescent="0.2">
      <c r="A467" t="s">
        <v>2007</v>
      </c>
      <c r="B467" t="s">
        <v>79</v>
      </c>
      <c r="C467" t="s">
        <v>2008</v>
      </c>
      <c r="D467" t="b">
        <v>1</v>
      </c>
      <c r="E467" t="b">
        <v>1</v>
      </c>
      <c r="I467" t="s">
        <v>2009</v>
      </c>
      <c r="J467">
        <v>3820</v>
      </c>
      <c r="K467">
        <v>419</v>
      </c>
      <c r="L467">
        <v>3434</v>
      </c>
      <c r="M467">
        <v>2412</v>
      </c>
      <c r="N467">
        <f t="shared" si="9"/>
        <v>838</v>
      </c>
      <c r="O467">
        <v>836</v>
      </c>
      <c r="P467">
        <v>0</v>
      </c>
      <c r="Q467">
        <v>1</v>
      </c>
      <c r="R467">
        <v>0</v>
      </c>
      <c r="S467" t="s">
        <v>44</v>
      </c>
      <c r="T467" t="str">
        <f>HYPERLINK("https://images.diginfra.net/framed3.html?imagesetuuid=06387344-f6be-4f89-be7c-57105578c47e&amp;uri=https://images.diginfra.net/iiif/NL-HaNA_1.01.02/3820/NL-HaNA_1.01.02_3820_0419.jpg", "viewer_url")</f>
        <v>viewer_url</v>
      </c>
      <c r="U467" t="str">
        <f>HYPERLINK("https://images.diginfra.net/iiif/NL-HaNA_1.01.02/3820/NL-HaNA_1.01.02_3820_0412.jpg/3434,2412,828,837/full/0/default.jpg", "iiif_url")</f>
        <v>iiif_url</v>
      </c>
      <c r="V467" t="s">
        <v>33</v>
      </c>
      <c r="W467" t="s">
        <v>2010</v>
      </c>
      <c r="X467" t="str">
        <f>HYPERLINK("https://images.diginfra.net/framed3.html?imagesetuuid=06387344-f6be-4f89-be7c-57105578c47e&amp;uri=https://images.diginfra.net/iiif/NL-HaNA_1.01.02/3820/NL-HaNA_1.01.02_3820_0418.jpg", "prev_meeting_viewer_url")</f>
        <v>prev_meeting_viewer_url</v>
      </c>
      <c r="Y467" t="str">
        <f>HYPERLINK("https://images.diginfra.net/iiif/NL-HaNA_1.01.02/3820/NL-HaNA_1.01.02_3820_0418.jpg/2339,594,1013,1110/full/0/default.jpg", "prev_meeting_iiif_url")</f>
        <v>prev_meeting_iiif_url</v>
      </c>
    </row>
    <row r="468" spans="1:29" x14ac:dyDescent="0.2">
      <c r="A468" t="s">
        <v>2011</v>
      </c>
      <c r="B468" t="s">
        <v>37</v>
      </c>
      <c r="C468" t="s">
        <v>2012</v>
      </c>
      <c r="D468" t="b">
        <v>1</v>
      </c>
      <c r="E468" t="b">
        <v>1</v>
      </c>
      <c r="I468" t="s">
        <v>2013</v>
      </c>
      <c r="J468">
        <v>3808</v>
      </c>
      <c r="K468">
        <v>325</v>
      </c>
      <c r="L468">
        <v>2470</v>
      </c>
      <c r="M468">
        <v>3036</v>
      </c>
      <c r="N468">
        <f t="shared" si="9"/>
        <v>650</v>
      </c>
      <c r="O468">
        <v>649</v>
      </c>
      <c r="P468">
        <v>0</v>
      </c>
      <c r="Q468">
        <v>4</v>
      </c>
      <c r="R468">
        <v>0</v>
      </c>
      <c r="S468" t="s">
        <v>44</v>
      </c>
      <c r="T468" t="str">
        <f>HYPERLINK("https://images.diginfra.net/framed3.html?imagesetuuid=d7b14369-fedc-4c2f-b4ba-0014f4e297b6&amp;uri=https://images.diginfra.net/iiif/NL-HaNA_1.01.02/3808/NL-HaNA_1.01.02_3808_0325.jpg", "viewer_url")</f>
        <v>viewer_url</v>
      </c>
      <c r="U468" t="str">
        <f>HYPERLINK("https://images.diginfra.net/iiif/NL-HaNA_1.01.02/3808/NL-HaNA_1.01.02_3808_0325.jpg/2470,3036,853,302/full/0/default.jpg", "iiif_url")</f>
        <v>iiif_url</v>
      </c>
      <c r="V468" t="s">
        <v>33</v>
      </c>
      <c r="W468" t="s">
        <v>2014</v>
      </c>
      <c r="X468" t="str">
        <f>HYPERLINK("https://images.diginfra.net/framed3.html?imagesetuuid=d7b14369-fedc-4c2f-b4ba-0014f4e297b6&amp;uri=https://images.diginfra.net/iiif/NL-HaNA_1.01.02/3808/NL-HaNA_1.01.02_3808_0325.jpg", "prev_meeting_viewer_url")</f>
        <v>prev_meeting_viewer_url</v>
      </c>
      <c r="Y468" t="str">
        <f>HYPERLINK("https://images.diginfra.net/iiif/NL-HaNA_1.01.02/3808/NL-HaNA_1.01.02_3808_0325.jpg/1277,2978,1043,416/full/0/default.jpg", "prev_meeting_iiif_url")</f>
        <v>prev_meeting_iiif_url</v>
      </c>
    </row>
    <row r="469" spans="1:29" x14ac:dyDescent="0.2">
      <c r="A469" t="s">
        <v>2015</v>
      </c>
      <c r="B469" t="s">
        <v>79</v>
      </c>
      <c r="C469" t="s">
        <v>2016</v>
      </c>
      <c r="D469" t="b">
        <v>1</v>
      </c>
      <c r="E469" t="b">
        <v>1</v>
      </c>
      <c r="I469" t="s">
        <v>2017</v>
      </c>
      <c r="J469">
        <v>3773</v>
      </c>
      <c r="K469">
        <v>414</v>
      </c>
      <c r="L469">
        <v>1333</v>
      </c>
      <c r="M469">
        <v>2968</v>
      </c>
      <c r="N469">
        <f t="shared" si="9"/>
        <v>828</v>
      </c>
      <c r="O469">
        <v>826</v>
      </c>
      <c r="P469">
        <v>1</v>
      </c>
      <c r="Q469">
        <v>2</v>
      </c>
      <c r="R469">
        <v>0</v>
      </c>
      <c r="S469" t="s">
        <v>33</v>
      </c>
      <c r="T469" t="str">
        <f>HYPERLINK("https://images.diginfra.net/framed3.html?imagesetuuid=0d0ede5e-a7f6-4a03-b996-493e50528c24&amp;uri=https://images.diginfra.net/iiif/NL-HaNA_1.01.02/3773/NL-HaNA_1.01.02_3773_0414.jpg", "viewer_url")</f>
        <v>viewer_url</v>
      </c>
      <c r="U469" t="str">
        <f>HYPERLINK("https://images.diginfra.net/iiif/NL-HaNA_1.01.02/3773/NL-HaNA_1.01.02_3773_0414.jpg/1333,2968,859,357/full/0/default.jpg", "iiif_url")</f>
        <v>iiif_url</v>
      </c>
      <c r="V469" t="s">
        <v>33</v>
      </c>
      <c r="W469" t="s">
        <v>2018</v>
      </c>
      <c r="X469" t="str">
        <f>HYPERLINK("https://images.diginfra.net/framed3.html?imagesetuuid=0d0ede5e-a7f6-4a03-b996-493e50528c24&amp;uri=https://images.diginfra.net/iiif/NL-HaNA_1.01.02/3773/NL-HaNA_1.01.02_3773_0411.jpg", "prev_meeting_viewer_url")</f>
        <v>prev_meeting_viewer_url</v>
      </c>
      <c r="Y469" t="str">
        <f>HYPERLINK("https://images.diginfra.net/iiif/NL-HaNA_1.01.02/3773/NL-HaNA_1.01.02_3773_0411.jpg/1196,1079,1103,2197/full/0/default.jpg", "prev_meeting_iiif_url")</f>
        <v>prev_meeting_iiif_url</v>
      </c>
      <c r="Z469" t="s">
        <v>33</v>
      </c>
      <c r="AA469" t="s">
        <v>2019</v>
      </c>
      <c r="AB469" t="str">
        <f>HYPERLINK("https://images.diginfra.net/framed3.html?imagesetuuid=0d0ede5e-a7f6-4a03-b996-493e50528c24&amp;uri=https://images.diginfra.net/iiif/NL-HaNA_1.01.02/3773/NL-HaNA_1.01.02_3773_0417.jpg", "next_meeting_viewer_url")</f>
        <v>next_meeting_viewer_url</v>
      </c>
      <c r="AC469" t="str">
        <f>HYPERLINK("https://images.diginfra.net/iiif/NL-HaNA_1.01.02/3773/NL-HaNA_1.01.02_3773_0417.jpg/230,2684,1039,687/full/0/default.jpg", "next_meeting_iiif_url")</f>
        <v>next_meeting_iiif_url</v>
      </c>
    </row>
    <row r="470" spans="1:29" x14ac:dyDescent="0.2">
      <c r="A470" t="s">
        <v>2020</v>
      </c>
      <c r="B470" t="s">
        <v>79</v>
      </c>
      <c r="C470" t="s">
        <v>2021</v>
      </c>
      <c r="D470" t="b">
        <v>1</v>
      </c>
      <c r="E470" t="b">
        <v>1</v>
      </c>
      <c r="I470" t="s">
        <v>2022</v>
      </c>
      <c r="J470">
        <v>3825</v>
      </c>
      <c r="K470">
        <v>128</v>
      </c>
      <c r="L470">
        <v>1368</v>
      </c>
      <c r="M470">
        <v>311</v>
      </c>
      <c r="N470">
        <f t="shared" si="9"/>
        <v>256</v>
      </c>
      <c r="O470">
        <v>254</v>
      </c>
      <c r="P470">
        <v>1</v>
      </c>
      <c r="Q470">
        <v>0</v>
      </c>
      <c r="R470">
        <v>0</v>
      </c>
      <c r="S470" t="s">
        <v>33</v>
      </c>
      <c r="T470" t="str">
        <f>HYPERLINK("https://images.diginfra.net/framed3.html?imagesetuuid=3e55157c-ed48-4a0c-b4a9-bb205866d7cd&amp;uri=https://images.diginfra.net/iiif/NL-HaNA_1.01.02/3825/NL-HaNA_1.01.02_3825_0128.jpg", "viewer_url")</f>
        <v>viewer_url</v>
      </c>
      <c r="U470" t="str">
        <f>HYPERLINK("https://images.diginfra.net/iiif/NL-HaNA_1.01.02/3825/NL-HaNA_1.01.02_3825_0128.jpg/1368,311,892,2894/full/0/default.jpg", "iiif_url")</f>
        <v>iiif_url</v>
      </c>
      <c r="V470" t="s">
        <v>33</v>
      </c>
      <c r="W470" t="s">
        <v>2023</v>
      </c>
      <c r="X470" t="str">
        <f>HYPERLINK("https://images.diginfra.net/framed3.html?imagesetuuid=3e55157c-ed48-4a0c-b4a9-bb205866d7cd&amp;uri=https://images.diginfra.net/iiif/NL-HaNA_1.01.02/3825/NL-HaNA_1.01.02_3825_0125.jpg", "prev_meeting_viewer_url")</f>
        <v>prev_meeting_viewer_url</v>
      </c>
      <c r="Y470" t="str">
        <f>HYPERLINK("https://images.diginfra.net/iiif/NL-HaNA_1.01.02/3825/NL-HaNA_1.01.02_3825_0125.jpg/3403,2353,1070,931/full/0/default.jpg", "prev_meeting_iiif_url")</f>
        <v>prev_meeting_iiif_url</v>
      </c>
      <c r="Z470" t="s">
        <v>33</v>
      </c>
      <c r="AA470" t="s">
        <v>2024</v>
      </c>
      <c r="AB470" t="str">
        <f>HYPERLINK("https://images.diginfra.net/framed3.html?imagesetuuid=3e55157c-ed48-4a0c-b4a9-bb205866d7cd&amp;uri=https://images.diginfra.net/iiif/NL-HaNA_1.01.02/3825/NL-HaNA_1.01.02_3825_0129.jpg", "next_meeting_viewer_url")</f>
        <v>next_meeting_viewer_url</v>
      </c>
      <c r="AC470" t="str">
        <f>HYPERLINK("https://images.diginfra.net/iiif/NL-HaNA_1.01.02/3825/NL-HaNA_1.01.02_3825_0129.jpg/3369,313,1083,2945/full/0/default.jpg", "next_meeting_iiif_url")</f>
        <v>next_meeting_iiif_url</v>
      </c>
    </row>
    <row r="471" spans="1:29" x14ac:dyDescent="0.2">
      <c r="A471" t="s">
        <v>2025</v>
      </c>
      <c r="B471" t="s">
        <v>59</v>
      </c>
      <c r="C471" t="s">
        <v>2026</v>
      </c>
      <c r="D471" t="b">
        <v>1</v>
      </c>
      <c r="E471" t="b">
        <v>1</v>
      </c>
      <c r="I471" t="s">
        <v>2027</v>
      </c>
      <c r="J471">
        <v>3776</v>
      </c>
      <c r="K471">
        <v>59</v>
      </c>
      <c r="L471">
        <v>3558</v>
      </c>
      <c r="M471">
        <v>1089</v>
      </c>
      <c r="N471">
        <f t="shared" si="9"/>
        <v>118</v>
      </c>
      <c r="O471">
        <v>117</v>
      </c>
      <c r="P471">
        <v>1</v>
      </c>
      <c r="Q471">
        <v>2</v>
      </c>
      <c r="R471">
        <v>0</v>
      </c>
      <c r="S471" t="s">
        <v>33</v>
      </c>
      <c r="T471" t="str">
        <f>HYPERLINK("https://images.diginfra.net/framed3.html?imagesetuuid=cce3dc39-04f4-4d57-b3db-fdf0a2653e66&amp;uri=https://images.diginfra.net/iiif/NL-HaNA_1.01.02/3776/NL-HaNA_1.01.02_3776_0059.jpg", "viewer_url")</f>
        <v>viewer_url</v>
      </c>
      <c r="U471" t="str">
        <f>HYPERLINK("https://images.diginfra.net/iiif/NL-HaNA_1.01.02/3776/NL-HaNA_1.01.02_3776_0059.jpg/3558,1089,941,2312/full/0/default.jpg", "iiif_url")</f>
        <v>iiif_url</v>
      </c>
      <c r="V471" t="s">
        <v>33</v>
      </c>
      <c r="W471" t="s">
        <v>1301</v>
      </c>
      <c r="X471" t="str">
        <f>HYPERLINK("https://images.diginfra.net/framed3.html?imagesetuuid=cce3dc39-04f4-4d57-b3db-fdf0a2653e66&amp;uri=https://images.diginfra.net/iiif/NL-HaNA_1.01.02/3776/NL-HaNA_1.01.02_3776_0057.jpg", "prev_meeting_viewer_url")</f>
        <v>prev_meeting_viewer_url</v>
      </c>
      <c r="Y471" t="str">
        <f>HYPERLINK("https://images.diginfra.net/iiif/NL-HaNA_1.01.02/3776/NL-HaNA_1.01.02_3776_0057.jpg/421,631,1098,2737/full/0/default.jpg", "prev_meeting_iiif_url")</f>
        <v>prev_meeting_iiif_url</v>
      </c>
      <c r="Z471" t="s">
        <v>33</v>
      </c>
      <c r="AA471" t="s">
        <v>2028</v>
      </c>
      <c r="AB471" t="str">
        <f>HYPERLINK("https://images.diginfra.net/framed3.html?imagesetuuid=cce3dc39-04f4-4d57-b3db-fdf0a2653e66&amp;uri=https://images.diginfra.net/iiif/NL-HaNA_1.01.02/3776/NL-HaNA_1.01.02_3776_0061.jpg", "next_meeting_viewer_url")</f>
        <v>next_meeting_viewer_url</v>
      </c>
      <c r="AC471" t="str">
        <f>HYPERLINK("https://images.diginfra.net/iiif/NL-HaNA_1.01.02/3776/NL-HaNA_1.01.02_3776_0061.jpg/2468,755,1116,2681/full/0/default.jpg", "next_meeting_iiif_url")</f>
        <v>next_meeting_iiif_url</v>
      </c>
    </row>
    <row r="472" spans="1:29" x14ac:dyDescent="0.2">
      <c r="A472" t="s">
        <v>2029</v>
      </c>
      <c r="B472" t="s">
        <v>85</v>
      </c>
      <c r="C472" t="s">
        <v>2030</v>
      </c>
      <c r="D472" t="b">
        <v>1</v>
      </c>
      <c r="E472" t="b">
        <v>1</v>
      </c>
      <c r="I472" t="s">
        <v>2031</v>
      </c>
      <c r="J472">
        <v>3835</v>
      </c>
      <c r="K472">
        <v>121</v>
      </c>
      <c r="L472">
        <v>1306</v>
      </c>
      <c r="M472">
        <v>1353</v>
      </c>
      <c r="N472">
        <f t="shared" si="9"/>
        <v>242</v>
      </c>
      <c r="O472">
        <v>240</v>
      </c>
      <c r="P472">
        <v>1</v>
      </c>
      <c r="Q472">
        <v>1</v>
      </c>
      <c r="R472">
        <v>0</v>
      </c>
      <c r="S472" t="s">
        <v>33</v>
      </c>
      <c r="T472" t="str">
        <f>HYPERLINK("https://images.diginfra.net/framed3.html?imagesetuuid=473594ee-2ab0-4fbf-9da7-0e9d12acef41&amp;uri=https://images.diginfra.net/iiif/NL-HaNA_1.01.02/3835/NL-HaNA_1.01.02_3835_0121.jpg", "viewer_url")</f>
        <v>viewer_url</v>
      </c>
      <c r="U472" t="str">
        <f>HYPERLINK("https://images.diginfra.net/iiif/NL-HaNA_1.01.02/3835/NL-HaNA_1.01.02_3835_0121.jpg/1306,1353,896,1814/full/0/default.jpg", "iiif_url")</f>
        <v>iiif_url</v>
      </c>
      <c r="V472" t="s">
        <v>33</v>
      </c>
      <c r="W472" t="s">
        <v>2032</v>
      </c>
      <c r="X472" t="str">
        <f>HYPERLINK("https://images.diginfra.net/framed3.html?imagesetuuid=473594ee-2ab0-4fbf-9da7-0e9d12acef41&amp;uri=https://images.diginfra.net/iiif/NL-HaNA_1.01.02/3835/NL-HaNA_1.01.02_3835_0120.jpg", "prev_meeting_viewer_url")</f>
        <v>prev_meeting_viewer_url</v>
      </c>
      <c r="Y472" t="str">
        <f>HYPERLINK("https://images.diginfra.net/iiif/NL-HaNA_1.01.02/3835/NL-HaNA_1.01.02_3835_0120.jpg/368,1927,1026,1434/full/0/default.jpg", "prev_meeting_iiif_url")</f>
        <v>prev_meeting_iiif_url</v>
      </c>
      <c r="Z472" t="s">
        <v>33</v>
      </c>
      <c r="AA472" t="s">
        <v>2033</v>
      </c>
      <c r="AB472" t="str">
        <f>HYPERLINK("https://images.diginfra.net/framed3.html?imagesetuuid=473594ee-2ab0-4fbf-9da7-0e9d12acef41&amp;uri=https://images.diginfra.net/iiif/NL-HaNA_1.01.02/3835/NL-HaNA_1.01.02_3835_0122.jpg", "next_meeting_viewer_url")</f>
        <v>next_meeting_viewer_url</v>
      </c>
      <c r="AC472" t="str">
        <f>HYPERLINK("https://images.diginfra.net/iiif/NL-HaNA_1.01.02/3835/NL-HaNA_1.01.02_3835_0122.jpg/1237,1692,1032,1562/full/0/default.jpg", "next_meeting_iiif_url")</f>
        <v>next_meeting_iiif_url</v>
      </c>
    </row>
    <row r="473" spans="1:29" x14ac:dyDescent="0.2">
      <c r="A473" t="s">
        <v>2034</v>
      </c>
      <c r="B473" t="s">
        <v>30</v>
      </c>
      <c r="C473" t="s">
        <v>2035</v>
      </c>
      <c r="D473" t="b">
        <v>1</v>
      </c>
      <c r="E473" t="b">
        <v>1</v>
      </c>
      <c r="I473" t="s">
        <v>2036</v>
      </c>
      <c r="J473">
        <v>3784</v>
      </c>
      <c r="K473">
        <v>397</v>
      </c>
      <c r="L473">
        <v>1335</v>
      </c>
      <c r="M473">
        <v>2862</v>
      </c>
      <c r="N473">
        <f t="shared" si="9"/>
        <v>794</v>
      </c>
      <c r="O473">
        <v>792</v>
      </c>
      <c r="P473">
        <v>1</v>
      </c>
      <c r="Q473">
        <v>1</v>
      </c>
      <c r="R473">
        <v>0</v>
      </c>
      <c r="S473" t="s">
        <v>33</v>
      </c>
      <c r="T473" t="str">
        <f>HYPERLINK("https://images.diginfra.net/framed3.html?imagesetuuid=cb2f6e2d-502d-41d8-a51c-455c64ed98c9&amp;uri=https://images.diginfra.net/iiif/NL-HaNA_1.01.02/3784/NL-HaNA_1.01.02_3784_0397.jpg", "viewer_url")</f>
        <v>viewer_url</v>
      </c>
      <c r="U473" t="str">
        <f>HYPERLINK("https://images.diginfra.net/iiif/NL-HaNA_1.01.02/3784/NL-HaNA_1.01.02_3784_0397.jpg/1335,2862,847,501/full/0/default.jpg", "iiif_url")</f>
        <v>iiif_url</v>
      </c>
      <c r="V473" t="s">
        <v>33</v>
      </c>
      <c r="W473" t="s">
        <v>2037</v>
      </c>
      <c r="X473" t="str">
        <f>HYPERLINK("https://images.diginfra.net/framed3.html?imagesetuuid=cb2f6e2d-502d-41d8-a51c-455c64ed98c9&amp;uri=https://images.diginfra.net/iiif/NL-HaNA_1.01.02/3784/NL-HaNA_1.01.02_3784_0394.jpg", "prev_meeting_viewer_url")</f>
        <v>prev_meeting_viewer_url</v>
      </c>
      <c r="Y473" t="str">
        <f>HYPERLINK("https://images.diginfra.net/iiif/NL-HaNA_1.01.02/3784/NL-HaNA_1.01.02_3784_0394.jpg/2313,289,1116,3075/full/0/default.jpg", "prev_meeting_iiif_url")</f>
        <v>prev_meeting_iiif_url</v>
      </c>
      <c r="Z473" t="s">
        <v>33</v>
      </c>
      <c r="AA473" t="s">
        <v>2038</v>
      </c>
      <c r="AB473" t="str">
        <f>HYPERLINK("https://images.diginfra.net/framed3.html?imagesetuuid=cb2f6e2d-502d-41d8-a51c-455c64ed98c9&amp;uri=https://images.diginfra.net/iiif/NL-HaNA_1.01.02/3784/NL-HaNA_1.01.02_3784_0398.jpg", "next_meeting_viewer_url")</f>
        <v>next_meeting_viewer_url</v>
      </c>
      <c r="AC473" t="str">
        <f>HYPERLINK("https://images.diginfra.net/iiif/NL-HaNA_1.01.02/3784/NL-HaNA_1.01.02_3784_0398.jpg/969,2544,1281,881/full/0/default.jpg", "next_meeting_iiif_url")</f>
        <v>next_meeting_iiif_url</v>
      </c>
    </row>
    <row r="474" spans="1:29" x14ac:dyDescent="0.2">
      <c r="A474" t="s">
        <v>2039</v>
      </c>
      <c r="B474" t="s">
        <v>85</v>
      </c>
      <c r="C474" t="s">
        <v>2040</v>
      </c>
      <c r="D474" t="b">
        <v>1</v>
      </c>
      <c r="E474" t="b">
        <v>1</v>
      </c>
      <c r="I474" t="s">
        <v>2041</v>
      </c>
      <c r="J474">
        <v>3775</v>
      </c>
      <c r="K474">
        <v>311</v>
      </c>
      <c r="L474">
        <v>258</v>
      </c>
      <c r="M474">
        <v>2046</v>
      </c>
      <c r="N474">
        <f t="shared" si="9"/>
        <v>622</v>
      </c>
      <c r="O474">
        <v>620</v>
      </c>
      <c r="P474">
        <v>0</v>
      </c>
      <c r="Q474">
        <v>2</v>
      </c>
      <c r="R474">
        <v>0</v>
      </c>
      <c r="S474" t="s">
        <v>33</v>
      </c>
      <c r="T474" t="str">
        <f>HYPERLINK("https://images.diginfra.net/framed3.html?imagesetuuid=e344f420-8808-4cb9-bb8a-07944ccb8c18&amp;uri=https://images.diginfra.net/iiif/NL-HaNA_1.01.02/3775/NL-HaNA_1.01.02_3775_0311.jpg", "viewer_url")</f>
        <v>viewer_url</v>
      </c>
      <c r="U474" t="str">
        <f>HYPERLINK("https://images.diginfra.net/iiif/NL-HaNA_1.01.02/3775/NL-HaNA_1.01.02_3775_0311.jpg/258,2046,924,1121/full/0/default.jpg", "iiif_url")</f>
        <v>iiif_url</v>
      </c>
      <c r="Z474" t="s">
        <v>44</v>
      </c>
      <c r="AA474" t="s">
        <v>2042</v>
      </c>
      <c r="AB474" t="str">
        <f>HYPERLINK("https://images.diginfra.net/framed3.html?imagesetuuid=e344f420-8808-4cb9-bb8a-07944ccb8c18&amp;uri=https://images.diginfra.net/iiif/NL-HaNA_1.01.02/3775/NL-HaNA_1.01.02_3775_0312.jpg", "next_meeting_viewer_url")</f>
        <v>next_meeting_viewer_url</v>
      </c>
      <c r="AC474" t="str">
        <f>HYPERLINK("https://images.diginfra.net/iiif/NL-HaNA_1.01.02/3775/NL-HaNA_1.01.02_3775_0312.jpg/209,1259,1094,2042/full/0/default.jpg", "next_meeting_iiif_url")</f>
        <v>next_meeting_iiif_url</v>
      </c>
    </row>
    <row r="475" spans="1:29" x14ac:dyDescent="0.2">
      <c r="A475" t="s">
        <v>2043</v>
      </c>
      <c r="B475" t="s">
        <v>85</v>
      </c>
      <c r="C475" t="s">
        <v>2044</v>
      </c>
      <c r="D475" t="b">
        <v>1</v>
      </c>
      <c r="E475" t="b">
        <v>1</v>
      </c>
      <c r="I475" t="s">
        <v>2045</v>
      </c>
      <c r="J475">
        <v>3786</v>
      </c>
      <c r="K475">
        <v>51</v>
      </c>
      <c r="L475">
        <v>2497</v>
      </c>
      <c r="M475">
        <v>2379</v>
      </c>
      <c r="N475">
        <f t="shared" si="9"/>
        <v>102</v>
      </c>
      <c r="O475">
        <v>101</v>
      </c>
      <c r="P475">
        <v>0</v>
      </c>
      <c r="Q475">
        <v>2</v>
      </c>
      <c r="R475">
        <v>0</v>
      </c>
      <c r="S475" t="s">
        <v>33</v>
      </c>
      <c r="T475" t="str">
        <f>HYPERLINK("https://images.diginfra.net/framed3.html?imagesetuuid=508661ee-474e-44be-a74a-8aac34348aeb&amp;uri=https://images.diginfra.net/iiif/NL-HaNA_1.01.02/3786/NL-HaNA_1.01.02_3786_0051.jpg", "viewer_url")</f>
        <v>viewer_url</v>
      </c>
      <c r="U475" t="str">
        <f>HYPERLINK("https://images.diginfra.net/iiif/NL-HaNA_1.01.02/3786/NL-HaNA_1.01.02_3786_0051.jpg/2497,2379,904,944/full/0/default.jpg", "iiif_url")</f>
        <v>iiif_url</v>
      </c>
      <c r="V475" t="s">
        <v>33</v>
      </c>
      <c r="W475" t="s">
        <v>2046</v>
      </c>
      <c r="X475" t="str">
        <f>HYPERLINK("https://images.diginfra.net/framed3.html?imagesetuuid=508661ee-474e-44be-a74a-8aac34348aeb&amp;uri=https://images.diginfra.net/iiif/NL-HaNA_1.01.02/3786/NL-HaNA_1.01.02_3786_0050.jpg", "prev_meeting_viewer_url")</f>
        <v>prev_meeting_viewer_url</v>
      </c>
      <c r="Y475" t="str">
        <f>HYPERLINK("https://images.diginfra.net/iiif/NL-HaNA_1.01.02/3786/NL-HaNA_1.01.02_3786_0050.jpg/3366,2137,1071,1214/full/0/default.jpg", "prev_meeting_iiif_url")</f>
        <v>prev_meeting_iiif_url</v>
      </c>
      <c r="Z475" t="s">
        <v>33</v>
      </c>
      <c r="AA475" t="s">
        <v>2047</v>
      </c>
      <c r="AB475" t="str">
        <f>HYPERLINK("https://images.diginfra.net/framed3.html?imagesetuuid=508661ee-474e-44be-a74a-8aac34348aeb&amp;uri=https://images.diginfra.net/iiif/NL-HaNA_1.01.02/3786/NL-HaNA_1.01.02_3786_0052.jpg", "next_meeting_viewer_url")</f>
        <v>next_meeting_viewer_url</v>
      </c>
      <c r="AC475" t="str">
        <f>HYPERLINK("https://images.diginfra.net/iiif/NL-HaNA_1.01.02/3786/NL-HaNA_1.01.02_3786_0052.jpg/301,506,1082,2901/full/0/default.jpg", "next_meeting_iiif_url")</f>
        <v>next_meeting_iiif_url</v>
      </c>
    </row>
    <row r="476" spans="1:29" x14ac:dyDescent="0.2">
      <c r="A476" t="s">
        <v>2048</v>
      </c>
      <c r="B476" t="s">
        <v>48</v>
      </c>
      <c r="C476" t="s">
        <v>2049</v>
      </c>
      <c r="D476" t="b">
        <v>1</v>
      </c>
      <c r="E476" t="b">
        <v>1</v>
      </c>
      <c r="I476" t="s">
        <v>2050</v>
      </c>
      <c r="J476">
        <v>3803</v>
      </c>
      <c r="K476">
        <v>221</v>
      </c>
      <c r="L476">
        <v>322</v>
      </c>
      <c r="M476">
        <v>1150</v>
      </c>
      <c r="N476">
        <f t="shared" si="9"/>
        <v>442</v>
      </c>
      <c r="O476">
        <v>440</v>
      </c>
      <c r="P476">
        <v>0</v>
      </c>
      <c r="Q476">
        <v>1</v>
      </c>
      <c r="R476">
        <v>0</v>
      </c>
      <c r="S476" t="s">
        <v>33</v>
      </c>
      <c r="T476" t="str">
        <f>HYPERLINK("https://images.diginfra.net/framed3.html?imagesetuuid=38df7783-1913-47c1-b96e-bdb08c6574dc&amp;uri=https://images.diginfra.net/iiif/NL-HaNA_1.01.02/3803/NL-HaNA_1.01.02_3803_0221.jpg", "viewer_url")</f>
        <v>viewer_url</v>
      </c>
      <c r="U476" t="str">
        <f>HYPERLINK("https://images.diginfra.net/iiif/NL-HaNA_1.01.02/3803/NL-HaNA_1.01.02_3803_0221.jpg/322,1150,914,2151/full/0/default.jpg", "iiif_url")</f>
        <v>iiif_url</v>
      </c>
      <c r="V476" t="s">
        <v>33</v>
      </c>
      <c r="W476" t="s">
        <v>2051</v>
      </c>
      <c r="X476" t="str">
        <f>HYPERLINK("https://images.diginfra.net/framed3.html?imagesetuuid=38df7783-1913-47c1-b96e-bdb08c6574dc&amp;uri=https://images.diginfra.net/iiif/NL-HaNA_1.01.02/3803/NL-HaNA_1.01.02_3803_0219.jpg", "prev_meeting_viewer_url")</f>
        <v>prev_meeting_viewer_url</v>
      </c>
      <c r="Y476" t="str">
        <f>HYPERLINK("https://images.diginfra.net/iiif/NL-HaNA_1.01.02/3803/NL-HaNA_1.01.02_3803_0219.jpg/3330,1563,1131,1749/full/0/default.jpg", "prev_meeting_iiif_url")</f>
        <v>prev_meeting_iiif_url</v>
      </c>
      <c r="Z476" t="s">
        <v>33</v>
      </c>
      <c r="AA476" t="s">
        <v>2052</v>
      </c>
      <c r="AB476" t="str">
        <f>HYPERLINK("https://images.diginfra.net/framed3.html?imagesetuuid=38df7783-1913-47c1-b96e-bdb08c6574dc&amp;uri=https://images.diginfra.net/iiif/NL-HaNA_1.01.02/3803/NL-HaNA_1.01.02_3803_0223.jpg", "next_meeting_viewer_url")</f>
        <v>next_meeting_viewer_url</v>
      </c>
      <c r="AC476" t="str">
        <f>HYPERLINK("https://images.diginfra.net/iiif/NL-HaNA_1.01.02/3803/NL-HaNA_1.01.02_3803_0223.jpg/3264,908,1099,2517/full/0/default.jpg", "next_meeting_iiif_url")</f>
        <v>next_meeting_iiif_url</v>
      </c>
    </row>
    <row r="477" spans="1:29" x14ac:dyDescent="0.2">
      <c r="A477" t="s">
        <v>2053</v>
      </c>
      <c r="B477" t="s">
        <v>48</v>
      </c>
      <c r="C477" t="s">
        <v>2054</v>
      </c>
      <c r="D477" t="b">
        <v>1</v>
      </c>
      <c r="E477" t="b">
        <v>1</v>
      </c>
      <c r="I477" t="s">
        <v>2055</v>
      </c>
      <c r="J477">
        <v>3782</v>
      </c>
      <c r="K477">
        <v>478</v>
      </c>
      <c r="L477">
        <v>1340</v>
      </c>
      <c r="M477">
        <v>940</v>
      </c>
      <c r="N477">
        <f t="shared" si="9"/>
        <v>956</v>
      </c>
      <c r="O477">
        <v>954</v>
      </c>
      <c r="P477">
        <v>1</v>
      </c>
      <c r="Q477">
        <v>2</v>
      </c>
      <c r="R477">
        <v>0</v>
      </c>
      <c r="S477" t="s">
        <v>33</v>
      </c>
      <c r="T477" t="str">
        <f>HYPERLINK("https://images.diginfra.net/framed3.html?imagesetuuid=6d3687da-fdc8-4a47-ac98-f85d45f74cb7&amp;uri=https://images.diginfra.net/iiif/NL-HaNA_1.01.02/3782/NL-HaNA_1.01.02_3782_0478.jpg", "viewer_url")</f>
        <v>viewer_url</v>
      </c>
      <c r="U477" t="str">
        <f>HYPERLINK("https://images.diginfra.net/iiif/NL-HaNA_1.01.02/3782/NL-HaNA_1.01.02_3782_0478.jpg/1340,940,918,2361/full/0/default.jpg", "iiif_url")</f>
        <v>iiif_url</v>
      </c>
      <c r="V477" t="s">
        <v>33</v>
      </c>
      <c r="W477" t="s">
        <v>2056</v>
      </c>
      <c r="X477" t="str">
        <f>HYPERLINK("https://images.diginfra.net/framed3.html?imagesetuuid=6d3687da-fdc8-4a47-ac98-f85d45f74cb7&amp;uri=https://images.diginfra.net/iiif/NL-HaNA_1.01.02/3782/NL-HaNA_1.01.02_3782_0477.jpg", "prev_meeting_viewer_url")</f>
        <v>prev_meeting_viewer_url</v>
      </c>
      <c r="Y477" t="str">
        <f>HYPERLINK("https://images.diginfra.net/iiif/NL-HaNA_1.01.02/3782/NL-HaNA_1.01.02_3782_0477.jpg/2551,2729,1038,685/full/0/default.jpg", "prev_meeting_iiif_url")</f>
        <v>prev_meeting_iiif_url</v>
      </c>
      <c r="Z477" t="s">
        <v>33</v>
      </c>
      <c r="AA477" t="s">
        <v>2057</v>
      </c>
      <c r="AB477" t="str">
        <f>HYPERLINK("https://images.diginfra.net/framed3.html?imagesetuuid=6d3687da-fdc8-4a47-ac98-f85d45f74cb7&amp;uri=https://images.diginfra.net/iiif/NL-HaNA_1.01.02/3782/NL-HaNA_1.01.02_3782_0478.jpg", "next_meeting_viewer_url")</f>
        <v>next_meeting_viewer_url</v>
      </c>
      <c r="AC477" t="str">
        <f>HYPERLINK("https://images.diginfra.net/iiif/NL-HaNA_1.01.02/3782/NL-HaNA_1.01.02_3782_0478.jpg/2514,2723,1032,699/full/0/default.jpg", "next_meeting_iiif_url")</f>
        <v>next_meeting_iiif_url</v>
      </c>
    </row>
    <row r="478" spans="1:29" x14ac:dyDescent="0.2">
      <c r="A478" t="s">
        <v>2058</v>
      </c>
      <c r="B478" t="s">
        <v>63</v>
      </c>
      <c r="D478" t="b">
        <v>0</v>
      </c>
      <c r="E478" t="b">
        <v>0</v>
      </c>
      <c r="I478" t="s">
        <v>2059</v>
      </c>
      <c r="J478">
        <v>3822</v>
      </c>
      <c r="K478">
        <v>162</v>
      </c>
      <c r="N478">
        <f t="shared" si="9"/>
        <v>324</v>
      </c>
      <c r="O478">
        <v>322</v>
      </c>
      <c r="P478">
        <v>0</v>
      </c>
      <c r="Q478">
        <v>1</v>
      </c>
      <c r="R478">
        <v>0</v>
      </c>
      <c r="S478" t="s">
        <v>33</v>
      </c>
      <c r="T478" t="str">
        <f>HYPERLINK("https://images.diginfra.net/framed3.html?imagesetuuid=e0965315-891d-46c1-9dac-fc6b729921cf&amp;uri=https://images.diginfra.net/iiif/NL-HaNA_1.01.02/3822/NL-HaNA_1.01.02_3822_0162.jpg", "viewer_url")</f>
        <v>viewer_url</v>
      </c>
      <c r="U478" t="str">
        <f>HYPERLINK("https://images.diginfra.net/iiif/NL-HaNA_1.01.02/3822/NL-HaNA_1.01.02_3822_0162.jpg/253,855,1076,2515/full/0/default.jpg", "iiif_url")</f>
        <v>iiif_url</v>
      </c>
      <c r="V478" t="s">
        <v>33</v>
      </c>
      <c r="W478" t="s">
        <v>2060</v>
      </c>
      <c r="X478" t="str">
        <f>HYPERLINK("https://images.diginfra.net/framed3.html?imagesetuuid=e0965315-891d-46c1-9dac-fc6b729921cf&amp;uri=https://images.diginfra.net/iiif/NL-HaNA_1.01.02/3822/NL-HaNA_1.01.02_3822_0161.jpg", "prev_meeting_viewer_url")</f>
        <v>prev_meeting_viewer_url</v>
      </c>
      <c r="Y478" t="str">
        <f>HYPERLINK("https://images.diginfra.net/iiif/NL-HaNA_1.01.02/3822/NL-HaNA_1.01.02_3822_0161.jpg/242,1312,1067,2060/full/0/default.jpg", "prev_meeting_iiif_url")</f>
        <v>prev_meeting_iiif_url</v>
      </c>
      <c r="Z478" t="s">
        <v>33</v>
      </c>
      <c r="AA478" t="s">
        <v>2061</v>
      </c>
      <c r="AB478" t="str">
        <f>HYPERLINK("https://images.diginfra.net/framed3.html?imagesetuuid=e0965315-891d-46c1-9dac-fc6b729921cf&amp;uri=https://images.diginfra.net/iiif/NL-HaNA_1.01.02/3822/NL-HaNA_1.01.02_3822_0162.jpg", "next_meeting_viewer_url")</f>
        <v>next_meeting_viewer_url</v>
      </c>
      <c r="AC478" t="str">
        <f>HYPERLINK("https://images.diginfra.net/iiif/NL-HaNA_1.01.02/3822/NL-HaNA_1.01.02_3822_0162.jpg/253,855,1076,2515/full/0/default.jpg", "next_meeting_iiif_url")</f>
        <v>next_meeting_iiif_url</v>
      </c>
    </row>
    <row r="479" spans="1:29" x14ac:dyDescent="0.2">
      <c r="A479" t="s">
        <v>2062</v>
      </c>
      <c r="B479" t="s">
        <v>63</v>
      </c>
      <c r="D479" t="b">
        <v>0</v>
      </c>
      <c r="E479" t="b">
        <v>0</v>
      </c>
      <c r="I479" t="s">
        <v>2063</v>
      </c>
      <c r="J479">
        <v>3839</v>
      </c>
      <c r="K479">
        <v>242</v>
      </c>
      <c r="N479">
        <f t="shared" si="9"/>
        <v>484</v>
      </c>
      <c r="O479">
        <v>482</v>
      </c>
      <c r="P479">
        <v>1</v>
      </c>
      <c r="Q479">
        <v>2</v>
      </c>
      <c r="R479">
        <v>0</v>
      </c>
      <c r="S479" t="s">
        <v>33</v>
      </c>
      <c r="T479" t="str">
        <f>HYPERLINK("https://images.diginfra.net/framed3.html?imagesetuuid=bd074b51-3206-4dd9-b65b-2a404481d480&amp;uri=https://images.diginfra.net/iiif/NL-HaNA_1.01.02/3839/NL-HaNA_1.01.02_3839_0242.jpg", "viewer_url")</f>
        <v>viewer_url</v>
      </c>
      <c r="U479" t="str">
        <f>HYPERLINK("https://images.diginfra.net/iiif/NL-HaNA_1.01.02/3839/NL-HaNA_1.01.02_3839_0242.jpg/1238,2552,1018,871/full/0/default.jpg", "iiif_url")</f>
        <v>iiif_url</v>
      </c>
      <c r="V479" t="s">
        <v>33</v>
      </c>
      <c r="W479" t="s">
        <v>2064</v>
      </c>
      <c r="X479" t="str">
        <f>HYPERLINK("https://images.diginfra.net/framed3.html?imagesetuuid=bd074b51-3206-4dd9-b65b-2a404481d480&amp;uri=https://images.diginfra.net/iiif/NL-HaNA_1.01.02/3839/NL-HaNA_1.01.02_3839_0241.jpg", "prev_meeting_viewer_url")</f>
        <v>prev_meeting_viewer_url</v>
      </c>
      <c r="Y479" t="str">
        <f>HYPERLINK("https://images.diginfra.net/iiif/NL-HaNA_1.01.02/3839/NL-HaNA_1.01.02_3839_0241.jpg/182,1214,1079,2206/full/0/default.jpg", "prev_meeting_iiif_url")</f>
        <v>prev_meeting_iiif_url</v>
      </c>
      <c r="Z479" t="s">
        <v>33</v>
      </c>
      <c r="AA479" t="s">
        <v>2065</v>
      </c>
      <c r="AB479" t="str">
        <f>HYPERLINK("https://images.diginfra.net/framed3.html?imagesetuuid=bd074b51-3206-4dd9-b65b-2a404481d480&amp;uri=https://images.diginfra.net/iiif/NL-HaNA_1.01.02/3839/NL-HaNA_1.01.02_3839_0242.jpg", "next_meeting_viewer_url")</f>
        <v>next_meeting_viewer_url</v>
      </c>
      <c r="AC479" t="str">
        <f>HYPERLINK("https://images.diginfra.net/iiif/NL-HaNA_1.01.02/3839/NL-HaNA_1.01.02_3839_0242.jpg/1238,2552,1018,871/full/0/default.jpg", "next_meeting_iiif_url")</f>
        <v>next_meeting_iiif_url</v>
      </c>
    </row>
    <row r="480" spans="1:29" x14ac:dyDescent="0.2">
      <c r="A480" t="s">
        <v>2066</v>
      </c>
      <c r="B480" t="s">
        <v>59</v>
      </c>
      <c r="D480" t="b">
        <v>0</v>
      </c>
      <c r="E480" t="b">
        <v>0</v>
      </c>
      <c r="I480" t="s">
        <v>2067</v>
      </c>
      <c r="J480">
        <v>3813</v>
      </c>
      <c r="K480">
        <v>187</v>
      </c>
      <c r="N480">
        <f t="shared" si="9"/>
        <v>374</v>
      </c>
      <c r="O480">
        <v>373</v>
      </c>
      <c r="P480">
        <v>1</v>
      </c>
      <c r="Q480">
        <v>4</v>
      </c>
      <c r="R480">
        <v>0</v>
      </c>
      <c r="S480" t="s">
        <v>33</v>
      </c>
      <c r="T480" t="str">
        <f>HYPERLINK("https://images.diginfra.net/framed3.html?imagesetuuid=19a3f39b-117a-4ab7-b45b-5e134b099649&amp;uri=https://images.diginfra.net/iiif/NL-HaNA_1.01.02/3813/NL-HaNA_1.01.02_3813_0187.jpg", "viewer_url")</f>
        <v>viewer_url</v>
      </c>
      <c r="U480" t="str">
        <f>HYPERLINK("https://images.diginfra.net/iiif/NL-HaNA_1.01.02/3813/NL-HaNA_1.01.02_3813_0187.jpg/3537,2957,750,374/full/0/default.jpg", "iiif_url")</f>
        <v>iiif_url</v>
      </c>
      <c r="V480" t="s">
        <v>33</v>
      </c>
      <c r="W480" t="s">
        <v>2068</v>
      </c>
      <c r="X480" t="str">
        <f>HYPERLINK("https://images.diginfra.net/framed3.html?imagesetuuid=19a3f39b-117a-4ab7-b45b-5e134b099649&amp;uri=https://images.diginfra.net/iiif/NL-HaNA_1.01.02/3813/NL-HaNA_1.01.02_3813_0185.jpg", "prev_meeting_viewer_url")</f>
        <v>prev_meeting_viewer_url</v>
      </c>
      <c r="Y480" t="str">
        <f>HYPERLINK("https://images.diginfra.net/iiif/NL-HaNA_1.01.02/3813/NL-HaNA_1.01.02_3813_0185.jpg/2409,2683,1055,691/full/0/default.jpg", "prev_meeting_iiif_url")</f>
        <v>prev_meeting_iiif_url</v>
      </c>
      <c r="Z480" t="s">
        <v>33</v>
      </c>
      <c r="AA480" t="s">
        <v>2069</v>
      </c>
      <c r="AB480" t="str">
        <f>HYPERLINK("https://images.diginfra.net/framed3.html?imagesetuuid=19a3f39b-117a-4ab7-b45b-5e134b099649&amp;uri=https://images.diginfra.net/iiif/NL-HaNA_1.01.02/3813/NL-HaNA_1.01.02_3813_0187.jpg", "next_meeting_viewer_url")</f>
        <v>next_meeting_viewer_url</v>
      </c>
      <c r="AC480" t="str">
        <f>HYPERLINK("https://images.diginfra.net/iiif/NL-HaNA_1.01.02/3813/NL-HaNA_1.01.02_3813_0187.jpg/3537,2957,750,374/full/0/default.jpg", "next_meeting_iiif_url")</f>
        <v>next_meeting_iiif_url</v>
      </c>
    </row>
    <row r="481" spans="1:29" x14ac:dyDescent="0.2">
      <c r="A481" t="s">
        <v>2070</v>
      </c>
      <c r="B481" t="s">
        <v>63</v>
      </c>
      <c r="D481" t="b">
        <v>0</v>
      </c>
      <c r="E481" t="b">
        <v>0</v>
      </c>
      <c r="I481" t="s">
        <v>2071</v>
      </c>
      <c r="J481">
        <v>3789</v>
      </c>
      <c r="K481">
        <v>258</v>
      </c>
      <c r="N481">
        <f t="shared" si="9"/>
        <v>516</v>
      </c>
      <c r="O481">
        <v>515</v>
      </c>
      <c r="P481">
        <v>0</v>
      </c>
      <c r="Q481">
        <v>0</v>
      </c>
      <c r="R481">
        <v>0</v>
      </c>
      <c r="S481" t="s">
        <v>44</v>
      </c>
      <c r="T481" t="str">
        <f>HYPERLINK("https://images.diginfra.net/framed3.html?imagesetuuid=b2a3e6f4-5cd7-4539-b0af-036095fc5ec2&amp;uri=https://images.diginfra.net/iiif/NL-HaNA_1.01.02/3789/NL-HaNA_1.01.02_3789_0258.jpg", "viewer_url")</f>
        <v>viewer_url</v>
      </c>
      <c r="U481" t="str">
        <f>HYPERLINK("https://images.diginfra.net/iiif/NL-HaNA_1.01.02/3789/NL-HaNA_1.01.02_3789_0258.jpg/2476,463,1112,2911/full/0/default.jpg", "iiif_url")</f>
        <v>iiif_url</v>
      </c>
      <c r="V481" t="s">
        <v>33</v>
      </c>
      <c r="W481" t="s">
        <v>2072</v>
      </c>
      <c r="X481" t="str">
        <f>HYPERLINK("https://images.diginfra.net/framed3.html?imagesetuuid=b2a3e6f4-5cd7-4539-b0af-036095fc5ec2&amp;uri=https://images.diginfra.net/iiif/NL-HaNA_1.01.02/3789/NL-HaNA_1.01.02_3789_0257.jpg", "prev_meeting_viewer_url")</f>
        <v>prev_meeting_viewer_url</v>
      </c>
      <c r="Y481" t="str">
        <f>HYPERLINK("https://images.diginfra.net/iiif/NL-HaNA_1.01.02/3789/NL-HaNA_1.01.02_3789_0257.jpg/2516,1554,1078,1902/full/0/default.jpg", "prev_meeting_iiif_url")</f>
        <v>prev_meeting_iiif_url</v>
      </c>
      <c r="Z481" t="s">
        <v>44</v>
      </c>
      <c r="AA481" t="s">
        <v>2073</v>
      </c>
      <c r="AB481" t="str">
        <f>HYPERLINK("https://images.diginfra.net/framed3.html?imagesetuuid=b2a3e6f4-5cd7-4539-b0af-036095fc5ec2&amp;uri=https://images.diginfra.net/iiif/NL-HaNA_1.01.02/3789/NL-HaNA_1.01.02_3789_0258.jpg", "next_meeting_viewer_url")</f>
        <v>next_meeting_viewer_url</v>
      </c>
      <c r="AC481" t="str">
        <f>HYPERLINK("https://images.diginfra.net/iiif/NL-HaNA_1.01.02/3789/NL-HaNA_1.01.02_3789_0258.jpg/2476,463,1112,2911/full/0/default.jpg", "next_meeting_iiif_url")</f>
        <v>next_meeting_iiif_url</v>
      </c>
    </row>
    <row r="482" spans="1:29" x14ac:dyDescent="0.2">
      <c r="A482" t="s">
        <v>2074</v>
      </c>
      <c r="B482" t="s">
        <v>85</v>
      </c>
      <c r="D482" t="b">
        <v>1</v>
      </c>
      <c r="E482" t="b">
        <v>0</v>
      </c>
      <c r="L482">
        <v>2336</v>
      </c>
      <c r="M482">
        <v>2319</v>
      </c>
      <c r="N482">
        <f t="shared" si="9"/>
        <v>0</v>
      </c>
      <c r="T482" t="str">
        <f>HYPERLINK("None", "viewer_url")</f>
        <v>viewer_url</v>
      </c>
      <c r="U482" t="str">
        <f>HYPERLINK("https://images.diginfra.net/iiif/NL-HaNA_1.01.02/3775/NL-HaNA_1.01.02_3775_0344.jpg/2336,2319,845,948/full/0/default.jpg", "iiif_url")</f>
        <v>iiif_url</v>
      </c>
      <c r="Z482" t="s">
        <v>33</v>
      </c>
      <c r="AA482" t="s">
        <v>2075</v>
      </c>
      <c r="AB482" t="str">
        <f>HYPERLINK("https://images.diginfra.net/framed3.html?imagesetuuid=e344f420-8808-4cb9-bb8a-07944ccb8c18&amp;uri=https://images.diginfra.net/iiif/NL-HaNA_1.01.02/3775/NL-HaNA_1.01.02_3775_0345.jpg", "next_meeting_viewer_url")</f>
        <v>next_meeting_viewer_url</v>
      </c>
      <c r="AC482" t="str">
        <f>HYPERLINK("https://images.diginfra.net/iiif/NL-HaNA_1.01.02/3775/NL-HaNA_1.01.02_3775_0345.jpg/3109,716,1120,2696/full/0/default.jpg", "next_meeting_iiif_url")</f>
        <v>next_meeting_iiif_url</v>
      </c>
    </row>
    <row r="483" spans="1:29" x14ac:dyDescent="0.2">
      <c r="A483" t="s">
        <v>2076</v>
      </c>
      <c r="B483" t="s">
        <v>30</v>
      </c>
      <c r="C483" t="s">
        <v>2077</v>
      </c>
      <c r="D483" t="b">
        <v>1</v>
      </c>
      <c r="E483" t="b">
        <v>1</v>
      </c>
      <c r="I483" t="s">
        <v>2078</v>
      </c>
      <c r="J483">
        <v>3851</v>
      </c>
      <c r="K483">
        <v>25</v>
      </c>
      <c r="L483">
        <v>3496</v>
      </c>
      <c r="M483">
        <v>1793</v>
      </c>
      <c r="N483">
        <f t="shared" si="9"/>
        <v>50</v>
      </c>
      <c r="O483">
        <v>49</v>
      </c>
      <c r="P483">
        <v>1</v>
      </c>
      <c r="Q483">
        <v>2</v>
      </c>
      <c r="R483">
        <v>0</v>
      </c>
      <c r="S483" t="s">
        <v>44</v>
      </c>
      <c r="T483" t="str">
        <f>HYPERLINK("https://images.diginfra.net/framed3.html?imagesetuuid=27660c50-4382-4d81-bab3-9b18ce5e4c3c&amp;uri=https://images.diginfra.net/iiif/NL-HaNA_1.01.02/3851/NL-HaNA_1.01.02_3851_0025.jpg", "viewer_url")</f>
        <v>viewer_url</v>
      </c>
      <c r="U483" t="str">
        <f>HYPERLINK("https://images.diginfra.net/iiif/NL-HaNA_1.01.02/3851/NL-HaNA_1.01.02_3851_0025.jpg/3496,1793,881,1528/full/0/default.jpg", "iiif_url")</f>
        <v>iiif_url</v>
      </c>
      <c r="V483" t="s">
        <v>33</v>
      </c>
      <c r="W483" t="s">
        <v>872</v>
      </c>
      <c r="X483" t="str">
        <f>HYPERLINK("https://images.diginfra.net/framed3.html?imagesetuuid=27660c50-4382-4d81-bab3-9b18ce5e4c3c&amp;uri=https://images.diginfra.net/iiif/NL-HaNA_1.01.02/3851/NL-HaNA_1.01.02_3851_0024.jpg", "prev_meeting_viewer_url")</f>
        <v>prev_meeting_viewer_url</v>
      </c>
      <c r="Y483" t="str">
        <f>HYPERLINK("https://images.diginfra.net/iiif/NL-HaNA_1.01.02/3851/NL-HaNA_1.01.02_3851_0024.jpg/1517,2915,751,503/full/0/default.jpg", "prev_meeting_iiif_url")</f>
        <v>prev_meeting_iiif_url</v>
      </c>
    </row>
    <row r="484" spans="1:29" x14ac:dyDescent="0.2">
      <c r="A484" t="s">
        <v>2079</v>
      </c>
      <c r="B484" t="s">
        <v>48</v>
      </c>
      <c r="C484" t="s">
        <v>2080</v>
      </c>
      <c r="D484" t="b">
        <v>1</v>
      </c>
      <c r="E484" t="b">
        <v>1</v>
      </c>
      <c r="I484" t="s">
        <v>2081</v>
      </c>
      <c r="J484">
        <v>3762</v>
      </c>
      <c r="K484">
        <v>142</v>
      </c>
      <c r="L484">
        <v>2465</v>
      </c>
      <c r="M484">
        <v>2273</v>
      </c>
      <c r="N484">
        <f t="shared" si="9"/>
        <v>284</v>
      </c>
      <c r="O484">
        <v>283</v>
      </c>
      <c r="P484">
        <v>0</v>
      </c>
      <c r="Q484">
        <v>2</v>
      </c>
      <c r="R484">
        <v>0</v>
      </c>
      <c r="S484" t="s">
        <v>33</v>
      </c>
      <c r="T484" t="str">
        <f>HYPERLINK("https://images.diginfra.net/framed3.html?imagesetuuid=df3dafee-b161-42ae-8ffe-6d7f9dbb63ed&amp;uri=https://images.diginfra.net/iiif/NL-HaNA_1.01.02/3762/NL-HaNA_1.01.02_3762_0142.jpg", "viewer_url")</f>
        <v>viewer_url</v>
      </c>
      <c r="U484" t="str">
        <f>HYPERLINK("https://images.diginfra.net/iiif/NL-HaNA_1.01.02/3762/NL-HaNA_1.01.02_3762_0142.jpg/2465,2273,863,1014/full/0/default.jpg", "iiif_url")</f>
        <v>iiif_url</v>
      </c>
      <c r="V484" t="s">
        <v>33</v>
      </c>
      <c r="W484" t="s">
        <v>2082</v>
      </c>
      <c r="X484" t="str">
        <f>HYPERLINK("https://images.diginfra.net/framed3.html?imagesetuuid=df3dafee-b161-42ae-8ffe-6d7f9dbb63ed&amp;uri=https://images.diginfra.net/iiif/NL-HaNA_1.01.02/3762/NL-HaNA_1.01.02_3762_0140.jpg", "prev_meeting_viewer_url")</f>
        <v>prev_meeting_viewer_url</v>
      </c>
      <c r="Y484" t="str">
        <f>HYPERLINK("https://images.diginfra.net/iiif/NL-HaNA_1.01.02/3762/NL-HaNA_1.01.02_3762_0140.jpg/2335,1501,1104,1864/full/0/default.jpg", "prev_meeting_iiif_url")</f>
        <v>prev_meeting_iiif_url</v>
      </c>
      <c r="Z484" t="s">
        <v>33</v>
      </c>
      <c r="AA484" t="s">
        <v>2083</v>
      </c>
      <c r="AB484" t="str">
        <f>HYPERLINK("https://images.diginfra.net/framed3.html?imagesetuuid=df3dafee-b161-42ae-8ffe-6d7f9dbb63ed&amp;uri=https://images.diginfra.net/iiif/NL-HaNA_1.01.02/3762/NL-HaNA_1.01.02_3762_0145.jpg", "next_meeting_viewer_url")</f>
        <v>next_meeting_viewer_url</v>
      </c>
      <c r="AC484" t="str">
        <f>HYPERLINK("https://images.diginfra.net/iiif/NL-HaNA_1.01.02/3762/NL-HaNA_1.01.02_3762_0145.jpg/2322,819,1097,2606/full/0/default.jpg", "next_meeting_iiif_url")</f>
        <v>next_meeting_iiif_url</v>
      </c>
    </row>
    <row r="485" spans="1:29" x14ac:dyDescent="0.2">
      <c r="A485" t="s">
        <v>2084</v>
      </c>
      <c r="B485" t="s">
        <v>37</v>
      </c>
      <c r="C485" t="s">
        <v>2085</v>
      </c>
      <c r="D485" t="b">
        <v>1</v>
      </c>
      <c r="E485" t="b">
        <v>1</v>
      </c>
      <c r="I485" t="s">
        <v>2086</v>
      </c>
      <c r="J485">
        <v>3760</v>
      </c>
      <c r="K485">
        <v>179</v>
      </c>
      <c r="L485">
        <v>346</v>
      </c>
      <c r="M485">
        <v>1106</v>
      </c>
      <c r="N485">
        <f t="shared" si="9"/>
        <v>358</v>
      </c>
      <c r="O485">
        <v>356</v>
      </c>
      <c r="P485">
        <v>0</v>
      </c>
      <c r="Q485">
        <v>0</v>
      </c>
      <c r="R485">
        <v>24</v>
      </c>
      <c r="S485" t="s">
        <v>33</v>
      </c>
      <c r="T485" t="str">
        <f>HYPERLINK("https://images.diginfra.net/framed3.html?imagesetuuid=dc1aea1e-5e7b-4d50-b913-c0d5902dbd85&amp;uri=https://images.diginfra.net/iiif/NL-HaNA_1.01.02/3760/NL-HaNA_1.01.02_3760_0179.jpg", "viewer_url")</f>
        <v>viewer_url</v>
      </c>
      <c r="U485" t="str">
        <f>HYPERLINK("https://images.diginfra.net/iiif/NL-HaNA_1.01.02/3760/NL-HaNA_1.01.02_3760_0179.jpg/346,1106,926,2145/full/0/default.jpg", "iiif_url")</f>
        <v>iiif_url</v>
      </c>
      <c r="V485" t="s">
        <v>33</v>
      </c>
      <c r="W485" t="s">
        <v>2087</v>
      </c>
      <c r="X485" t="str">
        <f>HYPERLINK("https://images.diginfra.net/framed3.html?imagesetuuid=dc1aea1e-5e7b-4d50-b913-c0d5902dbd85&amp;uri=https://images.diginfra.net/iiif/NL-HaNA_1.01.02/3760/NL-HaNA_1.01.02_3760_0175.jpg", "prev_meeting_viewer_url")</f>
        <v>prev_meeting_viewer_url</v>
      </c>
      <c r="Y485" t="str">
        <f>HYPERLINK("https://images.diginfra.net/iiif/NL-HaNA_1.01.02/3760/NL-HaNA_1.01.02_3760_0175.jpg/2324,550,1075,2849/full/0/default.jpg", "prev_meeting_iiif_url")</f>
        <v>prev_meeting_iiif_url</v>
      </c>
      <c r="Z485" t="s">
        <v>33</v>
      </c>
      <c r="AA485" t="s">
        <v>2088</v>
      </c>
      <c r="AB485" t="str">
        <f>HYPERLINK("https://images.diginfra.net/framed3.html?imagesetuuid=dc1aea1e-5e7b-4d50-b913-c0d5902dbd85&amp;uri=https://images.diginfra.net/iiif/NL-HaNA_1.01.02/3760/NL-HaNA_1.01.02_3760_0182.jpg", "next_meeting_viewer_url")</f>
        <v>next_meeting_viewer_url</v>
      </c>
      <c r="AC485" t="str">
        <f>HYPERLINK("https://images.diginfra.net/iiif/NL-HaNA_1.01.02/3760/NL-HaNA_1.01.02_3760_0182.jpg/362,2663,896,699/full/0/default.jpg", "next_meeting_iiif_url")</f>
        <v>next_meeting_iiif_url</v>
      </c>
    </row>
    <row r="486" spans="1:29" x14ac:dyDescent="0.2">
      <c r="A486" t="s">
        <v>2089</v>
      </c>
      <c r="B486" t="s">
        <v>59</v>
      </c>
      <c r="C486" t="s">
        <v>2090</v>
      </c>
      <c r="D486" t="b">
        <v>1</v>
      </c>
      <c r="E486" t="b">
        <v>1</v>
      </c>
      <c r="I486" t="s">
        <v>2091</v>
      </c>
      <c r="J486">
        <v>3794</v>
      </c>
      <c r="K486">
        <v>89</v>
      </c>
      <c r="L486">
        <v>3490</v>
      </c>
      <c r="M486">
        <v>608</v>
      </c>
      <c r="N486">
        <f t="shared" si="9"/>
        <v>178</v>
      </c>
      <c r="O486">
        <v>177</v>
      </c>
      <c r="P486">
        <v>1</v>
      </c>
      <c r="Q486">
        <v>1</v>
      </c>
      <c r="R486">
        <v>0</v>
      </c>
      <c r="S486" t="s">
        <v>33</v>
      </c>
      <c r="T486" t="str">
        <f>HYPERLINK("https://images.diginfra.net/framed3.html?imagesetuuid=5debb5c6-ae39-480e-845e-6e10690f8984&amp;uri=https://images.diginfra.net/iiif/NL-HaNA_1.01.02/3794/NL-HaNA_1.01.02_3794_0089.jpg", "viewer_url")</f>
        <v>viewer_url</v>
      </c>
      <c r="U486" t="str">
        <f>HYPERLINK("https://images.diginfra.net/iiif/NL-HaNA_1.01.02/3794/NL-HaNA_1.01.02_3794_0089.jpg/3490,608,913,2657/full/0/default.jpg", "iiif_url")</f>
        <v>iiif_url</v>
      </c>
      <c r="V486" t="s">
        <v>33</v>
      </c>
      <c r="W486" t="s">
        <v>2092</v>
      </c>
      <c r="X486" t="str">
        <f>HYPERLINK("https://images.diginfra.net/framed3.html?imagesetuuid=5debb5c6-ae39-480e-845e-6e10690f8984&amp;uri=https://images.diginfra.net/iiif/NL-HaNA_1.01.02/3794/NL-HaNA_1.01.02_3794_0088.jpg", "prev_meeting_viewer_url")</f>
        <v>prev_meeting_viewer_url</v>
      </c>
      <c r="Y486" t="str">
        <f>HYPERLINK("https://images.diginfra.net/iiif/NL-HaNA_1.01.02/3794/NL-HaNA_1.01.02_3794_0088.jpg/3417,764,1097,2599/full/0/default.jpg", "prev_meeting_iiif_url")</f>
        <v>prev_meeting_iiif_url</v>
      </c>
      <c r="Z486" t="s">
        <v>33</v>
      </c>
      <c r="AA486" t="s">
        <v>2093</v>
      </c>
      <c r="AB486" t="str">
        <f>HYPERLINK("https://images.diginfra.net/framed3.html?imagesetuuid=5debb5c6-ae39-480e-845e-6e10690f8984&amp;uri=https://images.diginfra.net/iiif/NL-HaNA_1.01.02/3794/NL-HaNA_1.01.02_3794_0091.jpg", "next_meeting_viewer_url")</f>
        <v>next_meeting_viewer_url</v>
      </c>
      <c r="AC486" t="str">
        <f>HYPERLINK("https://images.diginfra.net/iiif/NL-HaNA_1.01.02/3794/NL-HaNA_1.01.02_3794_0091.jpg/1311,2440,1029,906/full/0/default.jpg", "next_meeting_iiif_url")</f>
        <v>next_meeting_iiif_url</v>
      </c>
    </row>
    <row r="487" spans="1:29" x14ac:dyDescent="0.2">
      <c r="A487" t="s">
        <v>2094</v>
      </c>
      <c r="B487" t="s">
        <v>85</v>
      </c>
      <c r="C487" t="s">
        <v>2095</v>
      </c>
      <c r="D487" t="b">
        <v>1</v>
      </c>
      <c r="E487" t="b">
        <v>1</v>
      </c>
      <c r="I487" t="s">
        <v>2096</v>
      </c>
      <c r="J487">
        <v>3791</v>
      </c>
      <c r="K487">
        <v>338</v>
      </c>
      <c r="L487">
        <v>1232</v>
      </c>
      <c r="M487">
        <v>772</v>
      </c>
      <c r="N487">
        <f t="shared" si="9"/>
        <v>676</v>
      </c>
      <c r="O487">
        <v>674</v>
      </c>
      <c r="P487">
        <v>1</v>
      </c>
      <c r="Q487">
        <v>1</v>
      </c>
      <c r="R487">
        <v>0</v>
      </c>
      <c r="S487" t="s">
        <v>33</v>
      </c>
      <c r="T487" t="str">
        <f>HYPERLINK("https://images.diginfra.net/framed3.html?imagesetuuid=e5198992-3bac-4cce-bc59-b70724ee426a&amp;uri=https://images.diginfra.net/iiif/NL-HaNA_1.01.02/3791/NL-HaNA_1.01.02_3791_0338.jpg", "viewer_url")</f>
        <v>viewer_url</v>
      </c>
      <c r="U487" t="str">
        <f>HYPERLINK("https://images.diginfra.net/iiif/NL-HaNA_1.01.02/3791/NL-HaNA_1.01.02_3791_0338.jpg/1232,772,952,2556/full/0/default.jpg", "iiif_url")</f>
        <v>iiif_url</v>
      </c>
      <c r="V487" t="s">
        <v>33</v>
      </c>
      <c r="W487" t="s">
        <v>2097</v>
      </c>
      <c r="X487" t="str">
        <f>HYPERLINK("https://images.diginfra.net/framed3.html?imagesetuuid=e5198992-3bac-4cce-bc59-b70724ee426a&amp;uri=https://images.diginfra.net/iiif/NL-HaNA_1.01.02/3791/NL-HaNA_1.01.02_3791_0337.jpg", "prev_meeting_viewer_url")</f>
        <v>prev_meeting_viewer_url</v>
      </c>
      <c r="Y487" t="str">
        <f>HYPERLINK("https://images.diginfra.net/iiif/NL-HaNA_1.01.02/3791/NL-HaNA_1.01.02_3791_0337.jpg/1165,887,1130,2580/full/0/default.jpg", "prev_meeting_iiif_url")</f>
        <v>prev_meeting_iiif_url</v>
      </c>
      <c r="Z487" t="s">
        <v>33</v>
      </c>
      <c r="AA487" t="s">
        <v>2098</v>
      </c>
      <c r="AB487" t="str">
        <f>HYPERLINK("https://images.diginfra.net/framed3.html?imagesetuuid=e5198992-3bac-4cce-bc59-b70724ee426a&amp;uri=https://images.diginfra.net/iiif/NL-HaNA_1.01.02/3791/NL-HaNA_1.01.02_3791_0338.jpg", "next_meeting_viewer_url")</f>
        <v>next_meeting_viewer_url</v>
      </c>
      <c r="AC487" t="str">
        <f>HYPERLINK("https://images.diginfra.net/iiif/NL-HaNA_1.01.02/3791/NL-HaNA_1.01.02_3791_0338.jpg/3364,1455,1086,1962/full/0/default.jpg", "next_meeting_iiif_url")</f>
        <v>next_meeting_iiif_url</v>
      </c>
    </row>
    <row r="488" spans="1:29" x14ac:dyDescent="0.2">
      <c r="A488" t="s">
        <v>2099</v>
      </c>
      <c r="B488" t="s">
        <v>85</v>
      </c>
      <c r="C488" t="s">
        <v>1536</v>
      </c>
      <c r="D488" t="b">
        <v>1</v>
      </c>
      <c r="E488" t="b">
        <v>1</v>
      </c>
      <c r="I488" t="s">
        <v>2100</v>
      </c>
      <c r="J488">
        <v>3792</v>
      </c>
      <c r="K488">
        <v>313</v>
      </c>
      <c r="L488">
        <v>1266</v>
      </c>
      <c r="M488">
        <v>1972</v>
      </c>
      <c r="N488">
        <f t="shared" si="9"/>
        <v>626</v>
      </c>
      <c r="O488">
        <v>624</v>
      </c>
      <c r="P488">
        <v>1</v>
      </c>
      <c r="Q488">
        <v>1</v>
      </c>
      <c r="R488">
        <v>0</v>
      </c>
      <c r="S488" t="s">
        <v>33</v>
      </c>
      <c r="T488" t="str">
        <f>HYPERLINK("https://images.diginfra.net/framed3.html?imagesetuuid=507d79a4-2a42-4e84-afa5-a9ccb1e544fe&amp;uri=https://images.diginfra.net/iiif/NL-HaNA_1.01.02/3792/NL-HaNA_1.01.02_3792_0313.jpg", "viewer_url")</f>
        <v>viewer_url</v>
      </c>
      <c r="U488" t="str">
        <f>HYPERLINK("https://images.diginfra.net/iiif/NL-HaNA_1.01.02/3792/NL-HaNA_1.01.02_3792_0313.jpg/1266,1972,914,1408/full/0/default.jpg", "iiif_url")</f>
        <v>iiif_url</v>
      </c>
      <c r="Z488" t="s">
        <v>33</v>
      </c>
      <c r="AA488" t="s">
        <v>2101</v>
      </c>
      <c r="AB488" t="str">
        <f>HYPERLINK("https://images.diginfra.net/framed3.html?imagesetuuid=507d79a4-2a42-4e84-afa5-a9ccb1e544fe&amp;uri=https://images.diginfra.net/iiif/NL-HaNA_1.01.02/3792/NL-HaNA_1.01.02_3792_0314.jpg", "next_meeting_viewer_url")</f>
        <v>next_meeting_viewer_url</v>
      </c>
      <c r="AC488" t="str">
        <f>HYPERLINK("https://images.diginfra.net/iiif/NL-HaNA_1.01.02/3792/NL-HaNA_1.01.02_3792_0314.jpg/356,2673,1019,728/full/0/default.jpg", "next_meeting_iiif_url")</f>
        <v>next_meeting_iiif_url</v>
      </c>
    </row>
    <row r="489" spans="1:29" x14ac:dyDescent="0.2">
      <c r="A489" t="s">
        <v>2102</v>
      </c>
      <c r="B489" t="s">
        <v>30</v>
      </c>
      <c r="C489" t="s">
        <v>2103</v>
      </c>
      <c r="D489" t="b">
        <v>1</v>
      </c>
      <c r="E489" t="b">
        <v>1</v>
      </c>
      <c r="I489" t="s">
        <v>2104</v>
      </c>
      <c r="J489">
        <v>3816</v>
      </c>
      <c r="K489">
        <v>281</v>
      </c>
      <c r="L489">
        <v>3462</v>
      </c>
      <c r="M489">
        <v>651</v>
      </c>
      <c r="N489">
        <f t="shared" si="9"/>
        <v>562</v>
      </c>
      <c r="O489">
        <v>561</v>
      </c>
      <c r="P489">
        <v>1</v>
      </c>
      <c r="Q489">
        <v>1</v>
      </c>
      <c r="R489">
        <v>0</v>
      </c>
      <c r="S489" t="s">
        <v>44</v>
      </c>
      <c r="T489" t="str">
        <f>HYPERLINK("https://images.diginfra.net/framed3.html?imagesetuuid=1c2c3458-ea9f-4ec5-811c-cef54972a496&amp;uri=https://images.diginfra.net/iiif/NL-HaNA_1.01.02/3816/NL-HaNA_1.01.02_3816_0281.jpg", "viewer_url")</f>
        <v>viewer_url</v>
      </c>
      <c r="U489" t="str">
        <f>HYPERLINK("https://images.diginfra.net/iiif/NL-HaNA_1.01.02/3816/NL-HaNA_1.01.02_3816_0281.jpg/3462,651,900,2543/full/0/default.jpg", "iiif_url")</f>
        <v>iiif_url</v>
      </c>
      <c r="V489" t="s">
        <v>33</v>
      </c>
      <c r="W489" t="s">
        <v>2105</v>
      </c>
      <c r="X489" t="str">
        <f>HYPERLINK("https://images.diginfra.net/framed3.html?imagesetuuid=1c2c3458-ea9f-4ec5-811c-cef54972a496&amp;uri=https://images.diginfra.net/iiif/NL-HaNA_1.01.02/3816/NL-HaNA_1.01.02_3816_0280.jpg", "prev_meeting_viewer_url")</f>
        <v>prev_meeting_viewer_url</v>
      </c>
      <c r="Y489" t="str">
        <f>HYPERLINK("https://images.diginfra.net/iiif/NL-HaNA_1.01.02/3816/NL-HaNA_1.01.02_3816_0280.jpg/2492,1623,1046,1783/full/0/default.jpg", "prev_meeting_iiif_url")</f>
        <v>prev_meeting_iiif_url</v>
      </c>
    </row>
    <row r="490" spans="1:29" x14ac:dyDescent="0.2">
      <c r="A490" t="s">
        <v>2106</v>
      </c>
      <c r="B490" t="s">
        <v>85</v>
      </c>
      <c r="C490" t="s">
        <v>2107</v>
      </c>
      <c r="D490" t="b">
        <v>1</v>
      </c>
      <c r="E490" t="b">
        <v>1</v>
      </c>
      <c r="I490" t="s">
        <v>2108</v>
      </c>
      <c r="J490">
        <v>3789</v>
      </c>
      <c r="K490">
        <v>88</v>
      </c>
      <c r="L490">
        <v>1368</v>
      </c>
      <c r="M490">
        <v>1216</v>
      </c>
      <c r="N490">
        <f t="shared" si="9"/>
        <v>176</v>
      </c>
      <c r="O490">
        <v>174</v>
      </c>
      <c r="P490">
        <v>1</v>
      </c>
      <c r="Q490">
        <v>1</v>
      </c>
      <c r="R490">
        <v>0</v>
      </c>
      <c r="S490" t="s">
        <v>33</v>
      </c>
      <c r="T490" t="str">
        <f>HYPERLINK("https://images.diginfra.net/framed3.html?imagesetuuid=b2a3e6f4-5cd7-4539-b0af-036095fc5ec2&amp;uri=https://images.diginfra.net/iiif/NL-HaNA_1.01.02/3789/NL-HaNA_1.01.02_3789_0088.jpg", "viewer_url")</f>
        <v>viewer_url</v>
      </c>
      <c r="U490" t="str">
        <f>HYPERLINK("https://images.diginfra.net/iiif/NL-HaNA_1.01.02/3789/NL-HaNA_1.01.02_3789_0088.jpg/1368,1216,907,2163/full/0/default.jpg", "iiif_url")</f>
        <v>iiif_url</v>
      </c>
      <c r="V490" t="s">
        <v>33</v>
      </c>
      <c r="W490" t="s">
        <v>2109</v>
      </c>
      <c r="X490" t="str">
        <f>HYPERLINK("https://images.diginfra.net/framed3.html?imagesetuuid=b2a3e6f4-5cd7-4539-b0af-036095fc5ec2&amp;uri=https://images.diginfra.net/iiif/NL-HaNA_1.01.02/3789/NL-HaNA_1.01.02_3789_0087.jpg", "prev_meeting_viewer_url")</f>
        <v>prev_meeting_viewer_url</v>
      </c>
      <c r="Y490" t="str">
        <f>HYPERLINK("https://images.diginfra.net/iiif/NL-HaNA_1.01.02/3789/NL-HaNA_1.01.02_3789_0087.jpg/1312,2711,1036,743/full/0/default.jpg", "prev_meeting_iiif_url")</f>
        <v>prev_meeting_iiif_url</v>
      </c>
      <c r="Z490" t="s">
        <v>33</v>
      </c>
      <c r="AA490" t="s">
        <v>2110</v>
      </c>
      <c r="AB490" t="str">
        <f>HYPERLINK("https://images.diginfra.net/framed3.html?imagesetuuid=b2a3e6f4-5cd7-4539-b0af-036095fc5ec2&amp;uri=https://images.diginfra.net/iiif/NL-HaNA_1.01.02/3789/NL-HaNA_1.01.02_3789_0089.jpg", "next_meeting_viewer_url")</f>
        <v>next_meeting_viewer_url</v>
      </c>
      <c r="AC490" t="str">
        <f>HYPERLINK("https://images.diginfra.net/iiif/NL-HaNA_1.01.02/3789/NL-HaNA_1.01.02_3789_0089.jpg/2527,1800,1079,1599/full/0/default.jpg", "next_meeting_iiif_url")</f>
        <v>next_meeting_iiif_url</v>
      </c>
    </row>
    <row r="491" spans="1:29" x14ac:dyDescent="0.2">
      <c r="A491" t="s">
        <v>2111</v>
      </c>
      <c r="B491" t="s">
        <v>30</v>
      </c>
      <c r="C491" t="s">
        <v>2112</v>
      </c>
      <c r="D491" t="b">
        <v>1</v>
      </c>
      <c r="E491" t="b">
        <v>1</v>
      </c>
      <c r="I491" t="s">
        <v>2113</v>
      </c>
      <c r="J491">
        <v>3825</v>
      </c>
      <c r="K491">
        <v>536</v>
      </c>
      <c r="L491">
        <v>475</v>
      </c>
      <c r="M491">
        <v>2991</v>
      </c>
      <c r="N491">
        <f t="shared" si="9"/>
        <v>1072</v>
      </c>
      <c r="O491">
        <v>1070</v>
      </c>
      <c r="P491">
        <v>0</v>
      </c>
      <c r="Q491">
        <v>2</v>
      </c>
      <c r="R491">
        <v>0</v>
      </c>
      <c r="S491" t="s">
        <v>44</v>
      </c>
      <c r="T491" t="str">
        <f>HYPERLINK("https://images.diginfra.net/framed3.html?imagesetuuid=3e55157c-ed48-4a0c-b4a9-bb205866d7cd&amp;uri=https://images.diginfra.net/iiif/NL-HaNA_1.01.02/3825/NL-HaNA_1.01.02_3825_0536.jpg", "viewer_url")</f>
        <v>viewer_url</v>
      </c>
      <c r="U491" t="str">
        <f>HYPERLINK("https://images.diginfra.net/iiif/NL-HaNA_1.01.02/3825/NL-HaNA_1.01.02_3825_0536.jpg/475,2991,783,258/full/0/default.jpg", "iiif_url")</f>
        <v>iiif_url</v>
      </c>
      <c r="V491" t="s">
        <v>33</v>
      </c>
      <c r="W491" t="s">
        <v>2114</v>
      </c>
      <c r="X491" t="str">
        <f>HYPERLINK("https://images.diginfra.net/framed3.html?imagesetuuid=3e55157c-ed48-4a0c-b4a9-bb205866d7cd&amp;uri=https://images.diginfra.net/iiif/NL-HaNA_1.01.02/3825/NL-HaNA_1.01.02_3825_0533.jpg", "prev_meeting_viewer_url")</f>
        <v>prev_meeting_viewer_url</v>
      </c>
      <c r="Y491" t="str">
        <f>HYPERLINK("https://images.diginfra.net/iiif/NL-HaNA_1.01.02/3825/NL-HaNA_1.01.02_3825_0533.jpg/2397,911,1082,2362/full/0/default.jpg", "prev_meeting_iiif_url")</f>
        <v>prev_meeting_iiif_url</v>
      </c>
    </row>
    <row r="492" spans="1:29" x14ac:dyDescent="0.2">
      <c r="A492" t="s">
        <v>2115</v>
      </c>
      <c r="B492" t="s">
        <v>63</v>
      </c>
      <c r="D492" t="b">
        <v>0</v>
      </c>
      <c r="E492" t="b">
        <v>0</v>
      </c>
      <c r="I492" t="s">
        <v>2116</v>
      </c>
      <c r="J492">
        <v>3797</v>
      </c>
      <c r="K492">
        <v>217</v>
      </c>
      <c r="N492">
        <f t="shared" si="9"/>
        <v>434</v>
      </c>
      <c r="O492">
        <v>432</v>
      </c>
      <c r="P492">
        <v>0</v>
      </c>
      <c r="Q492">
        <v>2</v>
      </c>
      <c r="R492">
        <v>0</v>
      </c>
      <c r="S492" t="s">
        <v>33</v>
      </c>
      <c r="T492" t="str">
        <f>HYPERLINK("https://images.diginfra.net/framed3.html?imagesetuuid=02516f87-475f-4001-a332-8d96f5aecb93&amp;uri=https://images.diginfra.net/iiif/NL-HaNA_1.01.02/3797/NL-HaNA_1.01.02_3797_0217.jpg", "viewer_url")</f>
        <v>viewer_url</v>
      </c>
      <c r="U492" t="str">
        <f>HYPERLINK("https://images.diginfra.net/iiif/NL-HaNA_1.01.02/3797/NL-HaNA_1.01.02_3797_0217.jpg/286,1070,1086,2331/full/0/default.jpg", "iiif_url")</f>
        <v>iiif_url</v>
      </c>
      <c r="V492" t="s">
        <v>33</v>
      </c>
      <c r="W492" t="s">
        <v>2117</v>
      </c>
      <c r="X492" t="str">
        <f>HYPERLINK("https://images.diginfra.net/framed3.html?imagesetuuid=02516f87-475f-4001-a332-8d96f5aecb93&amp;uri=https://images.diginfra.net/iiif/NL-HaNA_1.01.02/3797/NL-HaNA_1.01.02_3797_0216.jpg", "prev_meeting_viewer_url")</f>
        <v>prev_meeting_viewer_url</v>
      </c>
      <c r="Y492" t="str">
        <f>HYPERLINK("https://images.diginfra.net/iiif/NL-HaNA_1.01.02/3797/NL-HaNA_1.01.02_3797_0216.jpg/2503,2231,1031,1167/full/0/default.jpg", "prev_meeting_iiif_url")</f>
        <v>prev_meeting_iiif_url</v>
      </c>
      <c r="Z492" t="s">
        <v>33</v>
      </c>
      <c r="AA492" t="s">
        <v>2118</v>
      </c>
      <c r="AB492" t="str">
        <f>HYPERLINK("https://images.diginfra.net/framed3.html?imagesetuuid=02516f87-475f-4001-a332-8d96f5aecb93&amp;uri=https://images.diginfra.net/iiif/NL-HaNA_1.01.02/3797/NL-HaNA_1.01.02_3797_0217.jpg", "next_meeting_viewer_url")</f>
        <v>next_meeting_viewer_url</v>
      </c>
      <c r="AC492" t="str">
        <f>HYPERLINK("https://images.diginfra.net/iiif/NL-HaNA_1.01.02/3797/NL-HaNA_1.01.02_3797_0217.jpg/286,1070,1086,2331/full/0/default.jpg", "next_meeting_iiif_url")</f>
        <v>next_meeting_iiif_url</v>
      </c>
    </row>
    <row r="493" spans="1:29" x14ac:dyDescent="0.2">
      <c r="A493" t="s">
        <v>2119</v>
      </c>
      <c r="B493" t="s">
        <v>85</v>
      </c>
      <c r="D493" t="b">
        <v>1</v>
      </c>
      <c r="E493" t="b">
        <v>0</v>
      </c>
      <c r="L493">
        <v>2691</v>
      </c>
      <c r="M493">
        <v>3139</v>
      </c>
      <c r="N493">
        <f t="shared" si="9"/>
        <v>0</v>
      </c>
      <c r="T493" t="str">
        <f>HYPERLINK("None", "viewer_url")</f>
        <v>viewer_url</v>
      </c>
      <c r="U493" t="str">
        <f>HYPERLINK("https://images.diginfra.net/iiif/NL-HaNA_1.01.02/3793/NL-HaNA_1.01.02_3793_0336.jpg/2691,3139,684,253/full/0/default.jpg", "iiif_url")</f>
        <v>iiif_url</v>
      </c>
      <c r="V493" t="s">
        <v>44</v>
      </c>
      <c r="W493" t="s">
        <v>2120</v>
      </c>
      <c r="X493" t="str">
        <f>HYPERLINK("https://images.diginfra.net/framed3.html?imagesetuuid=8305a309-5c79-4c0c-a981-7e350c76be32&amp;uri=https://images.diginfra.net/iiif/NL-HaNA_1.01.02/3793/NL-HaNA_1.01.02_3793_0334.jpg", "prev_meeting_viewer_url")</f>
        <v>prev_meeting_viewer_url</v>
      </c>
      <c r="Y493" t="str">
        <f>HYPERLINK("https://images.diginfra.net/iiif/NL-HaNA_1.01.02/3793/NL-HaNA_1.01.02_3793_0334.jpg/3469,1865,1079,1567/full/0/default.jpg", "prev_meeting_iiif_url")</f>
        <v>prev_meeting_iiif_url</v>
      </c>
      <c r="Z493" t="s">
        <v>33</v>
      </c>
      <c r="AA493" t="s">
        <v>2121</v>
      </c>
      <c r="AB493" t="str">
        <f>HYPERLINK("https://images.diginfra.net/framed3.html?imagesetuuid=8305a309-5c79-4c0c-a981-7e350c76be32&amp;uri=https://images.diginfra.net/iiif/NL-HaNA_1.01.02/3793/NL-HaNA_1.01.02_3793_0337.jpg", "next_meeting_viewer_url")</f>
        <v>next_meeting_viewer_url</v>
      </c>
      <c r="AC493" t="str">
        <f>HYPERLINK("https://images.diginfra.net/iiif/NL-HaNA_1.01.02/3793/NL-HaNA_1.01.02_3793_0337.jpg/317,2138,1094,1272/full/0/default.jpg", "next_meeting_iiif_url")</f>
        <v>next_meeting_iiif_url</v>
      </c>
    </row>
    <row r="494" spans="1:29" x14ac:dyDescent="0.2">
      <c r="A494" t="s">
        <v>2122</v>
      </c>
      <c r="B494" t="s">
        <v>63</v>
      </c>
      <c r="D494" t="b">
        <v>0</v>
      </c>
      <c r="E494" t="b">
        <v>0</v>
      </c>
      <c r="I494" t="s">
        <v>2123</v>
      </c>
      <c r="J494">
        <v>3792</v>
      </c>
      <c r="K494">
        <v>40</v>
      </c>
      <c r="N494">
        <f t="shared" si="9"/>
        <v>80</v>
      </c>
      <c r="O494">
        <v>78</v>
      </c>
      <c r="P494">
        <v>0</v>
      </c>
      <c r="Q494">
        <v>1</v>
      </c>
      <c r="R494">
        <v>0</v>
      </c>
      <c r="S494" t="s">
        <v>33</v>
      </c>
      <c r="T494" t="str">
        <f>HYPERLINK("https://images.diginfra.net/framed3.html?imagesetuuid=507d79a4-2a42-4e84-afa5-a9ccb1e544fe&amp;uri=https://images.diginfra.net/iiif/NL-HaNA_1.01.02/3792/NL-HaNA_1.01.02_3792_0040.jpg", "viewer_url")</f>
        <v>viewer_url</v>
      </c>
      <c r="U494" t="str">
        <f>HYPERLINK("https://images.diginfra.net/iiif/NL-HaNA_1.01.02/3792/NL-HaNA_1.01.02_3792_0040.jpg/359,2101,1041,1323/full/0/default.jpg", "iiif_url")</f>
        <v>iiif_url</v>
      </c>
      <c r="Z494" t="s">
        <v>33</v>
      </c>
      <c r="AA494" t="s">
        <v>2124</v>
      </c>
      <c r="AB494" t="str">
        <f>HYPERLINK("https://images.diginfra.net/framed3.html?imagesetuuid=507d79a4-2a42-4e84-afa5-a9ccb1e544fe&amp;uri=https://images.diginfra.net/iiif/NL-HaNA_1.01.02/3792/NL-HaNA_1.01.02_3792_0040.jpg", "next_meeting_viewer_url")</f>
        <v>next_meeting_viewer_url</v>
      </c>
      <c r="AC494" t="str">
        <f>HYPERLINK("https://images.diginfra.net/iiif/NL-HaNA_1.01.02/3792/NL-HaNA_1.01.02_3792_0040.jpg/359,2101,1041,1323/full/0/default.jpg", "next_meeting_iiif_url")</f>
        <v>next_meeting_iiif_url</v>
      </c>
    </row>
    <row r="495" spans="1:29" x14ac:dyDescent="0.2">
      <c r="A495" t="s">
        <v>2125</v>
      </c>
      <c r="B495" t="s">
        <v>59</v>
      </c>
      <c r="D495" t="b">
        <v>0</v>
      </c>
      <c r="E495" t="b">
        <v>0</v>
      </c>
      <c r="I495" t="s">
        <v>2126</v>
      </c>
      <c r="J495">
        <v>3846</v>
      </c>
      <c r="K495">
        <v>159</v>
      </c>
      <c r="N495">
        <f t="shared" si="9"/>
        <v>318</v>
      </c>
      <c r="O495">
        <v>316</v>
      </c>
      <c r="P495">
        <v>1</v>
      </c>
      <c r="Q495">
        <v>3</v>
      </c>
      <c r="R495">
        <v>0</v>
      </c>
      <c r="S495" t="s">
        <v>33</v>
      </c>
      <c r="T495" t="str">
        <f>HYPERLINK("https://images.diginfra.net/framed3.html?imagesetuuid=5c344aa2-2016-4230-9286-e37531acd6d5&amp;uri=https://images.diginfra.net/iiif/NL-HaNA_1.01.02/3846/NL-HaNA_1.01.02_3846_0159.jpg", "viewer_url")</f>
        <v>viewer_url</v>
      </c>
      <c r="U495" t="str">
        <f>HYPERLINK("https://images.diginfra.net/iiif/NL-HaNA_1.01.02/3846/NL-HaNA_1.01.02_3846_0159.jpg/1435,2352,1026,1175/full/0/default.jpg", "iiif_url")</f>
        <v>iiif_url</v>
      </c>
      <c r="Z495" t="s">
        <v>33</v>
      </c>
      <c r="AA495" t="s">
        <v>2127</v>
      </c>
      <c r="AB495" t="str">
        <f>HYPERLINK("https://images.diginfra.net/framed3.html?imagesetuuid=5c344aa2-2016-4230-9286-e37531acd6d5&amp;uri=https://images.diginfra.net/iiif/NL-HaNA_1.01.02/3846/NL-HaNA_1.01.02_3846_0159.jpg", "next_meeting_viewer_url")</f>
        <v>next_meeting_viewer_url</v>
      </c>
      <c r="AC495" t="str">
        <f>HYPERLINK("https://images.diginfra.net/iiif/NL-HaNA_1.01.02/3846/NL-HaNA_1.01.02_3846_0159.jpg/1435,2352,1026,1175/full/0/default.jpg", "next_meeting_iiif_url")</f>
        <v>next_meeting_iiif_url</v>
      </c>
    </row>
    <row r="496" spans="1:29" x14ac:dyDescent="0.2">
      <c r="A496" t="s">
        <v>2128</v>
      </c>
      <c r="B496" t="s">
        <v>85</v>
      </c>
      <c r="C496" t="s">
        <v>2129</v>
      </c>
      <c r="D496" t="b">
        <v>1</v>
      </c>
      <c r="E496" t="b">
        <v>1</v>
      </c>
      <c r="I496" t="s">
        <v>2130</v>
      </c>
      <c r="J496">
        <v>3762</v>
      </c>
      <c r="K496">
        <v>589</v>
      </c>
      <c r="L496">
        <v>2463</v>
      </c>
      <c r="M496">
        <v>1097</v>
      </c>
      <c r="N496">
        <f t="shared" si="9"/>
        <v>1178</v>
      </c>
      <c r="O496">
        <v>1177</v>
      </c>
      <c r="P496">
        <v>0</v>
      </c>
      <c r="Q496">
        <v>1</v>
      </c>
      <c r="R496">
        <v>0</v>
      </c>
      <c r="S496" t="s">
        <v>33</v>
      </c>
      <c r="T496" t="str">
        <f>HYPERLINK("https://images.diginfra.net/framed3.html?imagesetuuid=df3dafee-b161-42ae-8ffe-6d7f9dbb63ed&amp;uri=https://images.diginfra.net/iiif/NL-HaNA_1.01.02/3762/NL-HaNA_1.01.02_3762_0589.jpg", "viewer_url")</f>
        <v>viewer_url</v>
      </c>
      <c r="U496" t="str">
        <f>HYPERLINK("https://images.diginfra.net/iiif/NL-HaNA_1.01.02/3762/NL-HaNA_1.01.02_3762_0589.jpg/2463,1097,911,2193/full/0/default.jpg", "iiif_url")</f>
        <v>iiif_url</v>
      </c>
      <c r="V496" t="s">
        <v>33</v>
      </c>
      <c r="W496" t="s">
        <v>2131</v>
      </c>
      <c r="X496" t="str">
        <f>HYPERLINK("https://images.diginfra.net/framed3.html?imagesetuuid=df3dafee-b161-42ae-8ffe-6d7f9dbb63ed&amp;uri=https://images.diginfra.net/iiif/NL-HaNA_1.01.02/3762/NL-HaNA_1.01.02_3762_0587.jpg", "prev_meeting_viewer_url")</f>
        <v>prev_meeting_viewer_url</v>
      </c>
      <c r="Y496" t="str">
        <f>HYPERLINK("https://images.diginfra.net/iiif/NL-HaNA_1.01.02/3762/NL-HaNA_1.01.02_3762_0587.jpg/371,1510,1097,1863/full/0/default.jpg", "prev_meeting_iiif_url")</f>
        <v>prev_meeting_iiif_url</v>
      </c>
      <c r="Z496" t="s">
        <v>33</v>
      </c>
      <c r="AA496" t="s">
        <v>2132</v>
      </c>
      <c r="AB496" t="str">
        <f>HYPERLINK("https://images.diginfra.net/framed3.html?imagesetuuid=df3dafee-b161-42ae-8ffe-6d7f9dbb63ed&amp;uri=https://images.diginfra.net/iiif/NL-HaNA_1.01.02/3762/NL-HaNA_1.01.02_3762_0591.jpg", "next_meeting_viewer_url")</f>
        <v>next_meeting_viewer_url</v>
      </c>
      <c r="AC496" t="str">
        <f>HYPERLINK("https://images.diginfra.net/iiif/NL-HaNA_1.01.02/3762/NL-HaNA_1.01.02_3762_0591.jpg/379,1813,1094,1563/full/0/default.jpg", "next_meeting_iiif_url")</f>
        <v>next_meeting_iiif_url</v>
      </c>
    </row>
    <row r="497" spans="1:29" x14ac:dyDescent="0.2">
      <c r="A497" t="s">
        <v>2133</v>
      </c>
      <c r="B497" t="s">
        <v>63</v>
      </c>
      <c r="D497" t="b">
        <v>0</v>
      </c>
      <c r="E497" t="b">
        <v>0</v>
      </c>
      <c r="I497" t="s">
        <v>2134</v>
      </c>
      <c r="J497">
        <v>3846</v>
      </c>
      <c r="K497">
        <v>340</v>
      </c>
      <c r="N497">
        <f t="shared" si="9"/>
        <v>680</v>
      </c>
      <c r="O497">
        <v>679</v>
      </c>
      <c r="P497">
        <v>1</v>
      </c>
      <c r="Q497">
        <v>2</v>
      </c>
      <c r="R497">
        <v>0</v>
      </c>
      <c r="S497" t="s">
        <v>33</v>
      </c>
      <c r="T497" t="str">
        <f>HYPERLINK("https://images.diginfra.net/framed3.html?imagesetuuid=5c344aa2-2016-4230-9286-e37531acd6d5&amp;uri=https://images.diginfra.net/iiif/NL-HaNA_1.01.02/3846/NL-HaNA_1.01.02_3846_0340.jpg", "viewer_url")</f>
        <v>viewer_url</v>
      </c>
      <c r="U497" t="str">
        <f>HYPERLINK("https://images.diginfra.net/iiif/NL-HaNA_1.01.02/3846/NL-HaNA_1.01.02_3846_0340.jpg/3600,1451,1052,2097/full/0/default.jpg", "iiif_url")</f>
        <v>iiif_url</v>
      </c>
      <c r="V497" t="s">
        <v>33</v>
      </c>
      <c r="W497" t="s">
        <v>2135</v>
      </c>
      <c r="X497" t="str">
        <f>HYPERLINK("https://images.diginfra.net/framed3.html?imagesetuuid=5c344aa2-2016-4230-9286-e37531acd6d5&amp;uri=https://images.diginfra.net/iiif/NL-HaNA_1.01.02/3846/NL-HaNA_1.01.02_3846_0338.jpg", "prev_meeting_viewer_url")</f>
        <v>prev_meeting_viewer_url</v>
      </c>
      <c r="Y497" t="str">
        <f>HYPERLINK("https://images.diginfra.net/iiif/NL-HaNA_1.01.02/3846/NL-HaNA_1.01.02_3846_0338.jpg/513,1923,1029,1652/full/0/default.jpg", "prev_meeting_iiif_url")</f>
        <v>prev_meeting_iiif_url</v>
      </c>
      <c r="Z497" t="s">
        <v>33</v>
      </c>
      <c r="AA497" t="s">
        <v>2136</v>
      </c>
      <c r="AB497" t="str">
        <f>HYPERLINK("https://images.diginfra.net/framed3.html?imagesetuuid=5c344aa2-2016-4230-9286-e37531acd6d5&amp;uri=https://images.diginfra.net/iiif/NL-HaNA_1.01.02/3846/NL-HaNA_1.01.02_3846_0340.jpg", "next_meeting_viewer_url")</f>
        <v>next_meeting_viewer_url</v>
      </c>
      <c r="AC497" t="str">
        <f>HYPERLINK("https://images.diginfra.net/iiif/NL-HaNA_1.01.02/3846/NL-HaNA_1.01.02_3846_0340.jpg/3600,1451,1052,2097/full/0/default.jpg", "next_meeting_iiif_url")</f>
        <v>next_meeting_iiif_url</v>
      </c>
    </row>
    <row r="498" spans="1:29" x14ac:dyDescent="0.2">
      <c r="A498" t="s">
        <v>2137</v>
      </c>
      <c r="B498" t="s">
        <v>37</v>
      </c>
      <c r="C498" t="s">
        <v>2138</v>
      </c>
      <c r="D498" t="b">
        <v>1</v>
      </c>
      <c r="E498" t="b">
        <v>1</v>
      </c>
      <c r="I498" t="s">
        <v>2139</v>
      </c>
      <c r="J498">
        <v>3764</v>
      </c>
      <c r="K498">
        <v>316</v>
      </c>
      <c r="L498">
        <v>2558</v>
      </c>
      <c r="M498">
        <v>1027</v>
      </c>
      <c r="N498">
        <f t="shared" si="9"/>
        <v>632</v>
      </c>
      <c r="O498">
        <v>631</v>
      </c>
      <c r="P498">
        <v>0</v>
      </c>
      <c r="Q498">
        <v>1</v>
      </c>
      <c r="R498">
        <v>0</v>
      </c>
      <c r="S498" t="s">
        <v>33</v>
      </c>
      <c r="T498" t="str">
        <f>HYPERLINK("https://images.diginfra.net/framed3.html?imagesetuuid=111590de-8f08-498e-8bad-f6a289f87065&amp;uri=https://images.diginfra.net/iiif/NL-HaNA_1.01.02/3764/NL-HaNA_1.01.02_3764_0316.jpg", "viewer_url")</f>
        <v>viewer_url</v>
      </c>
      <c r="U498" t="str">
        <f>HYPERLINK("https://images.diginfra.net/iiif/NL-HaNA_1.01.02/3764/NL-HaNA_1.01.02_3764_0316.jpg/2558,1027,926,2320/full/0/default.jpg", "iiif_url")</f>
        <v>iiif_url</v>
      </c>
      <c r="V498" t="s">
        <v>33</v>
      </c>
      <c r="W498" t="s">
        <v>2140</v>
      </c>
      <c r="X498" t="str">
        <f>HYPERLINK("https://images.diginfra.net/framed3.html?imagesetuuid=111590de-8f08-498e-8bad-f6a289f87065&amp;uri=https://images.diginfra.net/iiif/NL-HaNA_1.01.02/3764/NL-HaNA_1.01.02_3764_0314.jpg", "prev_meeting_viewer_url")</f>
        <v>prev_meeting_viewer_url</v>
      </c>
      <c r="Y498" t="str">
        <f>HYPERLINK("https://images.diginfra.net/iiif/NL-HaNA_1.01.02/3764/NL-HaNA_1.01.02_3764_0314.jpg/221,2239,1052,1043/full/0/default.jpg", "prev_meeting_iiif_url")</f>
        <v>prev_meeting_iiif_url</v>
      </c>
      <c r="Z498" t="s">
        <v>33</v>
      </c>
      <c r="AA498" t="s">
        <v>2141</v>
      </c>
      <c r="AB498" t="str">
        <f>HYPERLINK("https://images.diginfra.net/framed3.html?imagesetuuid=111590de-8f08-498e-8bad-f6a289f87065&amp;uri=https://images.diginfra.net/iiif/NL-HaNA_1.01.02/3764/NL-HaNA_1.01.02_3764_0319.jpg", "next_meeting_viewer_url")</f>
        <v>next_meeting_viewer_url</v>
      </c>
      <c r="AC498" t="str">
        <f>HYPERLINK("https://images.diginfra.net/iiif/NL-HaNA_1.01.02/3764/NL-HaNA_1.01.02_3764_0319.jpg/2483,1403,1103,2004/full/0/default.jpg", "next_meeting_iiif_url")</f>
        <v>next_meeting_iiif_url</v>
      </c>
    </row>
    <row r="499" spans="1:29" x14ac:dyDescent="0.2">
      <c r="A499" t="s">
        <v>2142</v>
      </c>
      <c r="B499" t="s">
        <v>48</v>
      </c>
      <c r="C499" t="s">
        <v>2143</v>
      </c>
      <c r="D499" t="b">
        <v>1</v>
      </c>
      <c r="E499" t="b">
        <v>1</v>
      </c>
      <c r="I499" t="s">
        <v>2144</v>
      </c>
      <c r="J499">
        <v>3842</v>
      </c>
      <c r="K499">
        <v>389</v>
      </c>
      <c r="L499">
        <v>2427</v>
      </c>
      <c r="M499">
        <v>1888</v>
      </c>
      <c r="N499">
        <f t="shared" si="9"/>
        <v>778</v>
      </c>
      <c r="O499">
        <v>777</v>
      </c>
      <c r="P499">
        <v>0</v>
      </c>
      <c r="Q499">
        <v>0</v>
      </c>
      <c r="R499">
        <v>0</v>
      </c>
      <c r="S499" t="s">
        <v>33</v>
      </c>
      <c r="T499" t="str">
        <f>HYPERLINK("https://images.diginfra.net/framed3.html?imagesetuuid=70f1fd11-1c44-41eb-aebd-1f9cc88be8c8&amp;uri=https://images.diginfra.net/iiif/NL-HaNA_1.01.02/3842/NL-HaNA_1.01.02_3842_0389.jpg", "viewer_url")</f>
        <v>viewer_url</v>
      </c>
      <c r="U499" t="str">
        <f>HYPERLINK("https://images.diginfra.net/iiif/NL-HaNA_1.01.02/3842/NL-HaNA_1.01.02_3842_0389.jpg/2427,1888,840,1414/full/0/default.jpg", "iiif_url")</f>
        <v>iiif_url</v>
      </c>
      <c r="V499" t="s">
        <v>33</v>
      </c>
      <c r="W499" t="s">
        <v>2145</v>
      </c>
      <c r="X499" t="str">
        <f>HYPERLINK("https://images.diginfra.net/framed3.html?imagesetuuid=70f1fd11-1c44-41eb-aebd-1f9cc88be8c8&amp;uri=https://images.diginfra.net/iiif/NL-HaNA_1.01.02/3842/NL-HaNA_1.01.02_3842_0385.jpg", "prev_meeting_viewer_url")</f>
        <v>prev_meeting_viewer_url</v>
      </c>
      <c r="Y499" t="str">
        <f>HYPERLINK("https://images.diginfra.net/iiif/NL-HaNA_1.01.02/3842/NL-HaNA_1.01.02_3842_0385.jpg/248,686,1081,2684/full/0/default.jpg", "prev_meeting_iiif_url")</f>
        <v>prev_meeting_iiif_url</v>
      </c>
      <c r="Z499" t="s">
        <v>33</v>
      </c>
      <c r="AA499" t="s">
        <v>2146</v>
      </c>
      <c r="AB499" t="str">
        <f>HYPERLINK("https://images.diginfra.net/framed3.html?imagesetuuid=70f1fd11-1c44-41eb-aebd-1f9cc88be8c8&amp;uri=https://images.diginfra.net/iiif/NL-HaNA_1.01.02/3842/NL-HaNA_1.01.02_3842_0395.jpg", "next_meeting_viewer_url")</f>
        <v>next_meeting_viewer_url</v>
      </c>
      <c r="AC499" t="str">
        <f>HYPERLINK("https://images.diginfra.net/iiif/NL-HaNA_1.01.02/3842/NL-HaNA_1.01.02_3842_0395.jpg/317,1510,1073,1942/full/0/default.jpg", "next_meeting_iiif_url")</f>
        <v>next_meeting_iiif_url</v>
      </c>
    </row>
    <row r="500" spans="1:29" x14ac:dyDescent="0.2">
      <c r="A500" t="s">
        <v>2147</v>
      </c>
      <c r="B500" t="s">
        <v>48</v>
      </c>
      <c r="C500" t="s">
        <v>2148</v>
      </c>
      <c r="D500" t="b">
        <v>1</v>
      </c>
      <c r="E500" t="b">
        <v>1</v>
      </c>
      <c r="I500" t="s">
        <v>2149</v>
      </c>
      <c r="J500">
        <v>3792</v>
      </c>
      <c r="K500">
        <v>10</v>
      </c>
      <c r="L500">
        <v>389</v>
      </c>
      <c r="M500">
        <v>1828</v>
      </c>
      <c r="N500">
        <f t="shared" si="9"/>
        <v>20</v>
      </c>
      <c r="O500">
        <v>18</v>
      </c>
      <c r="P500">
        <v>0</v>
      </c>
      <c r="Q500">
        <v>3</v>
      </c>
      <c r="R500">
        <v>0</v>
      </c>
      <c r="S500" t="s">
        <v>33</v>
      </c>
      <c r="T500" t="str">
        <f>HYPERLINK("https://images.diginfra.net/framed3.html?imagesetuuid=507d79a4-2a42-4e84-afa5-a9ccb1e544fe&amp;uri=https://images.diginfra.net/iiif/NL-HaNA_1.01.02/3792/NL-HaNA_1.01.02_3792_0010.jpg", "viewer_url")</f>
        <v>viewer_url</v>
      </c>
      <c r="U500" t="str">
        <f>HYPERLINK("https://images.diginfra.net/iiif/NL-HaNA_1.01.02/3792/NL-HaNA_1.01.02_3792_0010.jpg/389,1828,894,1493/full/0/default.jpg", "iiif_url")</f>
        <v>iiif_url</v>
      </c>
      <c r="V500" t="s">
        <v>33</v>
      </c>
      <c r="W500" t="s">
        <v>2150</v>
      </c>
      <c r="X500" t="str">
        <f>HYPERLINK("https://images.diginfra.net/framed3.html?imagesetuuid=507d79a4-2a42-4e84-afa5-a9ccb1e544fe&amp;uri=https://images.diginfra.net/iiif/NL-HaNA_1.01.02/3792/NL-HaNA_1.01.02_3792_0008.jpg", "prev_meeting_viewer_url")</f>
        <v>prev_meeting_viewer_url</v>
      </c>
      <c r="Y500" t="str">
        <f>HYPERLINK("https://images.diginfra.net/iiif/NL-HaNA_1.01.02/3792/NL-HaNA_1.01.02_3792_0008.jpg/2528,2050,1099,1406/full/0/default.jpg", "prev_meeting_iiif_url")</f>
        <v>prev_meeting_iiif_url</v>
      </c>
      <c r="Z500" t="s">
        <v>33</v>
      </c>
      <c r="AA500" t="s">
        <v>2151</v>
      </c>
      <c r="AB500" t="str">
        <f>HYPERLINK("https://images.diginfra.net/framed3.html?imagesetuuid=507d79a4-2a42-4e84-afa5-a9ccb1e544fe&amp;uri=https://images.diginfra.net/iiif/NL-HaNA_1.01.02/3792/NL-HaNA_1.01.02_3792_0011.jpg", "next_meeting_viewer_url")</f>
        <v>next_meeting_viewer_url</v>
      </c>
      <c r="AC500" t="str">
        <f>HYPERLINK("https://images.diginfra.net/iiif/NL-HaNA_1.01.02/3792/NL-HaNA_1.01.02_3792_0011.jpg/1225,1839,1109,1608/full/0/default.jpg", "next_meeting_iiif_url")</f>
        <v>next_meeting_iiif_url</v>
      </c>
    </row>
    <row r="501" spans="1:29" x14ac:dyDescent="0.2">
      <c r="A501" t="s">
        <v>2152</v>
      </c>
      <c r="B501" t="s">
        <v>79</v>
      </c>
      <c r="C501" t="s">
        <v>2153</v>
      </c>
      <c r="D501" t="b">
        <v>1</v>
      </c>
      <c r="E501" t="b">
        <v>1</v>
      </c>
      <c r="I501" t="s">
        <v>2154</v>
      </c>
      <c r="J501">
        <v>3840</v>
      </c>
      <c r="K501">
        <v>12</v>
      </c>
      <c r="L501">
        <v>1330</v>
      </c>
      <c r="M501">
        <v>2478</v>
      </c>
      <c r="N501">
        <f t="shared" si="9"/>
        <v>24</v>
      </c>
      <c r="O501">
        <v>22</v>
      </c>
      <c r="P501">
        <v>1</v>
      </c>
      <c r="Q501">
        <v>1</v>
      </c>
      <c r="R501">
        <v>0</v>
      </c>
      <c r="S501" t="s">
        <v>33</v>
      </c>
      <c r="T501" t="str">
        <f>HYPERLINK("https://images.diginfra.net/framed3.html?imagesetuuid=139f8e53-59b0-4363-bde8-a631a3d6702a&amp;uri=https://images.diginfra.net/iiif/NL-HaNA_1.01.02/3840/NL-HaNA_1.01.02_3840_0012.jpg", "viewer_url")</f>
        <v>viewer_url</v>
      </c>
      <c r="U501" t="str">
        <f>HYPERLINK("https://images.diginfra.net/iiif/NL-HaNA_1.01.02/3840/NL-HaNA_1.01.02_3840_0012.jpg/1330,2478,838,847/full/0/default.jpg", "iiif_url")</f>
        <v>iiif_url</v>
      </c>
      <c r="V501" t="s">
        <v>33</v>
      </c>
      <c r="W501" t="s">
        <v>1242</v>
      </c>
      <c r="X501" t="str">
        <f>HYPERLINK("https://images.diginfra.net/framed3.html?imagesetuuid=139f8e53-59b0-4363-bde8-a631a3d6702a&amp;uri=https://images.diginfra.net/iiif/NL-HaNA_1.01.02/3840/NL-HaNA_1.01.02_3840_0011.jpg", "prev_meeting_viewer_url")</f>
        <v>prev_meeting_viewer_url</v>
      </c>
      <c r="Y501" t="str">
        <f>HYPERLINK("https://images.diginfra.net/iiif/NL-HaNA_1.01.02/3840/NL-HaNA_1.01.02_3840_0011.jpg/2447,2229,1030,1184/full/0/default.jpg", "prev_meeting_iiif_url")</f>
        <v>prev_meeting_iiif_url</v>
      </c>
      <c r="Z501" t="s">
        <v>33</v>
      </c>
      <c r="AA501" t="s">
        <v>2155</v>
      </c>
      <c r="AB501" t="str">
        <f>HYPERLINK("https://images.diginfra.net/framed3.html?imagesetuuid=139f8e53-59b0-4363-bde8-a631a3d6702a&amp;uri=https://images.diginfra.net/iiif/NL-HaNA_1.01.02/3840/NL-HaNA_1.01.02_3840_0012.jpg", "next_meeting_viewer_url")</f>
        <v>next_meeting_viewer_url</v>
      </c>
      <c r="AC501" t="str">
        <f>HYPERLINK("https://images.diginfra.net/iiif/NL-HaNA_1.01.02/3840/NL-HaNA_1.01.02_3840_0012.jpg/3457,2709,1028,709/full/0/default.jpg", "next_meeting_iiif_url")</f>
        <v>next_meeting_iiif_url</v>
      </c>
    </row>
    <row r="502" spans="1:29" x14ac:dyDescent="0.2">
      <c r="A502" t="s">
        <v>2156</v>
      </c>
      <c r="B502" t="s">
        <v>37</v>
      </c>
      <c r="C502" t="s">
        <v>2157</v>
      </c>
      <c r="D502" t="b">
        <v>1</v>
      </c>
      <c r="E502" t="b">
        <v>1</v>
      </c>
      <c r="I502" t="s">
        <v>2158</v>
      </c>
      <c r="J502">
        <v>3833</v>
      </c>
      <c r="K502">
        <v>414</v>
      </c>
      <c r="L502">
        <v>394</v>
      </c>
      <c r="M502">
        <v>1676</v>
      </c>
      <c r="N502">
        <f t="shared" si="9"/>
        <v>828</v>
      </c>
      <c r="O502">
        <v>827</v>
      </c>
      <c r="P502">
        <v>0</v>
      </c>
      <c r="Q502">
        <v>1</v>
      </c>
      <c r="R502">
        <v>0</v>
      </c>
      <c r="S502" t="s">
        <v>33</v>
      </c>
      <c r="T502" t="str">
        <f>HYPERLINK("https://images.diginfra.net/framed3.html?imagesetuuid=93b95c12-1805-42f5-98c6-c352681b46bb&amp;uri=https://images.diginfra.net/iiif/NL-HaNA_1.01.02/3833/NL-HaNA_1.01.02_3833_0414.jpg", "viewer_url")</f>
        <v>viewer_url</v>
      </c>
      <c r="U502" t="str">
        <f>HYPERLINK("https://images.diginfra.net/iiif/NL-HaNA_1.01.02/3833/NL-HaNA_1.01.02_3833_0406.jpg/394,1676,897,1618/full/0/default.jpg", "iiif_url")</f>
        <v>iiif_url</v>
      </c>
      <c r="V502" t="s">
        <v>33</v>
      </c>
      <c r="X502" t="str">
        <f>HYPERLINK("https://images.diginfra.net/framed3.html?imagesetuuid=93b95c12-1805-42f5-98c6-c352681b46bb&amp;uri=https://images.diginfra.net/iiif/NL-HaNA_1.01.02/3833/NL-HaNA_1.01.02_3833_0410.jpg", "prev_meeting_viewer_url")</f>
        <v>prev_meeting_viewer_url</v>
      </c>
      <c r="Y502" t="str">
        <f>HYPERLINK("https://images.diginfra.net/iiif/NL-HaNA_1.01.02/3833/NL-HaNA_1.01.02_3833_0410.jpg/1246,272,1092,3105/full/0/default.jpg", "prev_meeting_iiif_url")</f>
        <v>prev_meeting_iiif_url</v>
      </c>
      <c r="Z502" t="s">
        <v>33</v>
      </c>
      <c r="AA502" t="s">
        <v>2159</v>
      </c>
      <c r="AB502" t="str">
        <f>HYPERLINK("https://images.diginfra.net/framed3.html?imagesetuuid=93b95c12-1805-42f5-98c6-c352681b46bb&amp;uri=https://images.diginfra.net/iiif/NL-HaNA_1.01.02/3833/NL-HaNA_1.01.02_3833_0415.jpg", "next_meeting_viewer_url")</f>
        <v>next_meeting_viewer_url</v>
      </c>
      <c r="AC502" t="str">
        <f>HYPERLINK("https://images.diginfra.net/iiif/NL-HaNA_1.01.02/3833/NL-HaNA_1.01.02_3833_0415.jpg/334,1064,1094,2336/full/0/default.jpg", "next_meeting_iiif_url")</f>
        <v>next_meeting_iiif_url</v>
      </c>
    </row>
    <row r="503" spans="1:29" x14ac:dyDescent="0.2">
      <c r="A503" t="s">
        <v>2160</v>
      </c>
      <c r="B503" t="s">
        <v>85</v>
      </c>
      <c r="C503" t="s">
        <v>2161</v>
      </c>
      <c r="D503" t="b">
        <v>1</v>
      </c>
      <c r="E503" t="b">
        <v>1</v>
      </c>
      <c r="I503" t="s">
        <v>2162</v>
      </c>
      <c r="J503">
        <v>3790</v>
      </c>
      <c r="K503">
        <v>344</v>
      </c>
      <c r="L503">
        <v>390</v>
      </c>
      <c r="M503">
        <v>1520</v>
      </c>
      <c r="N503">
        <f t="shared" si="9"/>
        <v>688</v>
      </c>
      <c r="O503">
        <v>686</v>
      </c>
      <c r="P503">
        <v>1</v>
      </c>
      <c r="Q503">
        <v>1</v>
      </c>
      <c r="R503">
        <v>0</v>
      </c>
      <c r="S503" t="s">
        <v>33</v>
      </c>
      <c r="T503" t="str">
        <f>HYPERLINK("https://images.diginfra.net/framed3.html?imagesetuuid=8d608d2f-df2b-437f-936a-e002ab9d5d08&amp;uri=https://images.diginfra.net/iiif/NL-HaNA_1.01.02/3790/NL-HaNA_1.01.02_3790_0344.jpg", "viewer_url")</f>
        <v>viewer_url</v>
      </c>
      <c r="U503" t="str">
        <f>HYPERLINK("https://images.diginfra.net/iiif/NL-HaNA_1.01.02/3790/NL-HaNA_1.01.02_3790_0344.jpg/390,1520,1815,1790/full/0/default.jpg", "iiif_url")</f>
        <v>iiif_url</v>
      </c>
      <c r="Z503" t="s">
        <v>33</v>
      </c>
      <c r="AA503" t="s">
        <v>2163</v>
      </c>
      <c r="AB503" t="str">
        <f>HYPERLINK("https://images.diginfra.net/framed3.html?imagesetuuid=8d608d2f-df2b-437f-936a-e002ab9d5d08&amp;uri=https://images.diginfra.net/iiif/NL-HaNA_1.01.02/3790/NL-HaNA_1.01.02_3790_0344.jpg", "next_meeting_viewer_url")</f>
        <v>next_meeting_viewer_url</v>
      </c>
      <c r="AC503" t="str">
        <f>HYPERLINK("https://images.diginfra.net/iiif/NL-HaNA_1.01.02/3790/NL-HaNA_1.01.02_3790_0344.jpg/3167,2256,1089,1224/full/0/default.jpg", "next_meeting_iiif_url")</f>
        <v>next_meeting_iiif_url</v>
      </c>
    </row>
    <row r="504" spans="1:29" x14ac:dyDescent="0.2">
      <c r="A504" t="s">
        <v>2164</v>
      </c>
      <c r="B504" t="s">
        <v>59</v>
      </c>
      <c r="D504" t="b">
        <v>0</v>
      </c>
      <c r="E504" t="b">
        <v>0</v>
      </c>
      <c r="I504" t="s">
        <v>2165</v>
      </c>
      <c r="J504">
        <v>3819</v>
      </c>
      <c r="K504">
        <v>360</v>
      </c>
      <c r="N504">
        <f t="shared" si="9"/>
        <v>720</v>
      </c>
      <c r="O504">
        <v>719</v>
      </c>
      <c r="P504">
        <v>1</v>
      </c>
      <c r="Q504">
        <v>0</v>
      </c>
      <c r="R504">
        <v>52</v>
      </c>
      <c r="S504" t="s">
        <v>33</v>
      </c>
      <c r="T504" t="str">
        <f>HYPERLINK("https://images.diginfra.net/framed3.html?imagesetuuid=711b4f86-3dbd-47ca-af9d-52eb1c30bc58&amp;uri=https://images.diginfra.net/iiif/NL-HaNA_1.01.02/3819/NL-HaNA_1.01.02_3819_0360.jpg", "viewer_url")</f>
        <v>viewer_url</v>
      </c>
      <c r="U504" t="str">
        <f>HYPERLINK("https://images.diginfra.net/iiif/NL-HaNA_1.01.02/3819/NL-HaNA_1.01.02_3819_0360.jpg/3515,2757,821,568/full/0/default.jpg", "iiif_url")</f>
        <v>iiif_url</v>
      </c>
      <c r="V504" t="s">
        <v>33</v>
      </c>
      <c r="W504" t="s">
        <v>2166</v>
      </c>
      <c r="X504" t="str">
        <f>HYPERLINK("https://images.diginfra.net/framed3.html?imagesetuuid=711b4f86-3dbd-47ca-af9d-52eb1c30bc58&amp;uri=https://images.diginfra.net/iiif/NL-HaNA_1.01.02/3819/NL-HaNA_1.01.02_3819_0358.jpg", "prev_meeting_viewer_url")</f>
        <v>prev_meeting_viewer_url</v>
      </c>
      <c r="Y504" t="str">
        <f>HYPERLINK("https://images.diginfra.net/iiif/NL-HaNA_1.01.02/3819/NL-HaNA_1.01.02_3819_0358.jpg/289,2055,1032,1269/full/0/default.jpg", "prev_meeting_iiif_url")</f>
        <v>prev_meeting_iiif_url</v>
      </c>
      <c r="Z504" t="s">
        <v>33</v>
      </c>
      <c r="AA504" t="s">
        <v>1838</v>
      </c>
      <c r="AB504" t="str">
        <f>HYPERLINK("https://images.diginfra.net/framed3.html?imagesetuuid=711b4f86-3dbd-47ca-af9d-52eb1c30bc58&amp;uri=https://images.diginfra.net/iiif/NL-HaNA_1.01.02/3819/NL-HaNA_1.01.02_3819_0360.jpg", "next_meeting_viewer_url")</f>
        <v>next_meeting_viewer_url</v>
      </c>
      <c r="AC504" t="str">
        <f>HYPERLINK("https://images.diginfra.net/iiif/NL-HaNA_1.01.02/3819/NL-HaNA_1.01.02_3819_0360.jpg/3515,2757,821,568/full/0/default.jpg", "next_meeting_iiif_url")</f>
        <v>next_meeting_iiif_url</v>
      </c>
    </row>
    <row r="505" spans="1:29" x14ac:dyDescent="0.2">
      <c r="A505" t="s">
        <v>2167</v>
      </c>
      <c r="B505" t="s">
        <v>63</v>
      </c>
      <c r="D505" t="b">
        <v>0</v>
      </c>
      <c r="E505" t="b">
        <v>0</v>
      </c>
      <c r="N505">
        <f t="shared" si="9"/>
        <v>0</v>
      </c>
      <c r="T505" t="str">
        <f>HYPERLINK("None", "viewer_url")</f>
        <v>viewer_url</v>
      </c>
      <c r="U505" t="str">
        <f>HYPERLINK("None", "iiif_url")</f>
        <v>iiif_url</v>
      </c>
    </row>
    <row r="506" spans="1:29" x14ac:dyDescent="0.2">
      <c r="A506" t="s">
        <v>2168</v>
      </c>
      <c r="B506" t="s">
        <v>48</v>
      </c>
      <c r="C506" t="s">
        <v>2169</v>
      </c>
      <c r="D506" t="b">
        <v>1</v>
      </c>
      <c r="E506" t="b">
        <v>1</v>
      </c>
      <c r="I506" t="s">
        <v>2170</v>
      </c>
      <c r="J506">
        <v>3828</v>
      </c>
      <c r="K506">
        <v>351</v>
      </c>
      <c r="L506">
        <v>3431</v>
      </c>
      <c r="M506">
        <v>1429</v>
      </c>
      <c r="N506">
        <f t="shared" si="9"/>
        <v>702</v>
      </c>
      <c r="O506">
        <v>701</v>
      </c>
      <c r="P506">
        <v>1</v>
      </c>
      <c r="Q506">
        <v>1</v>
      </c>
      <c r="R506">
        <v>0</v>
      </c>
      <c r="S506" t="s">
        <v>33</v>
      </c>
      <c r="T506" t="str">
        <f>HYPERLINK("https://images.diginfra.net/framed3.html?imagesetuuid=be73aab8-e683-41ef-8f90-2432e0a35eb8&amp;uri=https://images.diginfra.net/iiif/NL-HaNA_1.01.02/3828/NL-HaNA_1.01.02_3828_0351.jpg", "viewer_url")</f>
        <v>viewer_url</v>
      </c>
      <c r="U506" t="str">
        <f>HYPERLINK("https://images.diginfra.net/iiif/NL-HaNA_1.01.02/3828/NL-HaNA_1.01.02_3828_0351.jpg/3431,1429,880,1648/full/0/default.jpg", "iiif_url")</f>
        <v>iiif_url</v>
      </c>
      <c r="V506" t="s">
        <v>33</v>
      </c>
      <c r="X506" t="str">
        <f>HYPERLINK("https://images.diginfra.net/framed3.html?imagesetuuid=be73aab8-e683-41ef-8f90-2432e0a35eb8&amp;uri=https://images.diginfra.net/iiif/NL-HaNA_1.01.02/3828/NL-HaNA_1.01.02_3828_0351.jpg", "prev_meeting_viewer_url")</f>
        <v>prev_meeting_viewer_url</v>
      </c>
      <c r="Y506" t="str">
        <f>HYPERLINK("https://images.diginfra.net/iiif/NL-HaNA_1.01.02/3828/NL-HaNA_1.01.02_3828_0351.jpg/2397,277,1064,2949/full/0/default.jpg", "prev_meeting_iiif_url")</f>
        <v>prev_meeting_iiif_url</v>
      </c>
      <c r="Z506" t="s">
        <v>33</v>
      </c>
      <c r="AA506" t="s">
        <v>2171</v>
      </c>
      <c r="AB506" t="str">
        <f>HYPERLINK("https://images.diginfra.net/framed3.html?imagesetuuid=be73aab8-e683-41ef-8f90-2432e0a35eb8&amp;uri=https://images.diginfra.net/iiif/NL-HaNA_1.01.02/3828/NL-HaNA_1.01.02_3828_0353.jpg", "next_meeting_viewer_url")</f>
        <v>next_meeting_viewer_url</v>
      </c>
      <c r="AC506" t="str">
        <f>HYPERLINK("https://images.diginfra.net/iiif/NL-HaNA_1.01.02/3828/NL-HaNA_1.01.02_3828_0353.jpg/2398,1353,1058,2043/full/0/default.jpg", "next_meeting_iiif_url")</f>
        <v>next_meeting_iiif_url</v>
      </c>
    </row>
    <row r="507" spans="1:29" x14ac:dyDescent="0.2">
      <c r="A507" t="s">
        <v>2172</v>
      </c>
      <c r="B507" t="s">
        <v>30</v>
      </c>
      <c r="D507" t="b">
        <v>1</v>
      </c>
      <c r="E507" t="b">
        <v>0</v>
      </c>
      <c r="L507">
        <v>2361</v>
      </c>
      <c r="M507">
        <v>338</v>
      </c>
      <c r="N507">
        <f t="shared" si="9"/>
        <v>0</v>
      </c>
      <c r="T507" t="str">
        <f>HYPERLINK("None", "viewer_url")</f>
        <v>viewer_url</v>
      </c>
      <c r="U507" t="str">
        <f>HYPERLINK("https://images.diginfra.net/iiif/NL-HaNA_1.01.02/3831/NL-HaNA_1.01.02_3831_0505.jpg/2361,338,902,2952/full/0/default.jpg", "iiif_url")</f>
        <v>iiif_url</v>
      </c>
      <c r="V507" t="s">
        <v>44</v>
      </c>
      <c r="W507" t="s">
        <v>2173</v>
      </c>
      <c r="X507" t="str">
        <f>HYPERLINK("https://images.diginfra.net/framed3.html?imagesetuuid=fbccadee-0831-4262-9b53-6f48467f765a&amp;uri=https://images.diginfra.net/iiif/NL-HaNA_1.01.02/3831/NL-HaNA_1.01.02_3831_0504.jpg", "prev_meeting_viewer_url")</f>
        <v>prev_meeting_viewer_url</v>
      </c>
      <c r="Y507" t="str">
        <f>HYPERLINK("https://images.diginfra.net/iiif/NL-HaNA_1.01.02/3831/NL-HaNA_1.01.02_3831_0504.jpg/3221,993,1082,2439/full/0/default.jpg", "prev_meeting_iiif_url")</f>
        <v>prev_meeting_iiif_url</v>
      </c>
      <c r="Z507" t="s">
        <v>33</v>
      </c>
      <c r="AA507" t="s">
        <v>2174</v>
      </c>
      <c r="AB507" t="str">
        <f>HYPERLINK("https://images.diginfra.net/framed3.html?imagesetuuid=fbccadee-0831-4262-9b53-6f48467f765a&amp;uri=https://images.diginfra.net/iiif/NL-HaNA_1.01.02/3831/NL-HaNA_1.01.02_3831_0507.jpg", "next_meeting_viewer_url")</f>
        <v>next_meeting_viewer_url</v>
      </c>
      <c r="AC507" t="str">
        <f>HYPERLINK("https://images.diginfra.net/iiif/NL-HaNA_1.01.02/3831/NL-HaNA_1.01.02_3831_0507.jpg/2302,232,1081,3024/full/0/default.jpg", "next_meeting_iiif_url")</f>
        <v>next_meeting_iiif_url</v>
      </c>
    </row>
    <row r="508" spans="1:29" x14ac:dyDescent="0.2">
      <c r="A508" t="s">
        <v>2175</v>
      </c>
      <c r="B508" t="s">
        <v>30</v>
      </c>
      <c r="C508" t="s">
        <v>2176</v>
      </c>
      <c r="D508" t="b">
        <v>1</v>
      </c>
      <c r="E508" t="b">
        <v>1</v>
      </c>
      <c r="I508" t="s">
        <v>2177</v>
      </c>
      <c r="J508">
        <v>3842</v>
      </c>
      <c r="K508">
        <v>136</v>
      </c>
      <c r="L508">
        <v>3351</v>
      </c>
      <c r="M508">
        <v>716</v>
      </c>
      <c r="N508">
        <f t="shared" si="9"/>
        <v>272</v>
      </c>
      <c r="O508">
        <v>271</v>
      </c>
      <c r="P508">
        <v>1</v>
      </c>
      <c r="Q508">
        <v>2</v>
      </c>
      <c r="R508">
        <v>0</v>
      </c>
      <c r="S508" t="s">
        <v>33</v>
      </c>
      <c r="T508" t="str">
        <f>HYPERLINK("https://images.diginfra.net/framed3.html?imagesetuuid=70f1fd11-1c44-41eb-aebd-1f9cc88be8c8&amp;uri=https://images.diginfra.net/iiif/NL-HaNA_1.01.02/3842/NL-HaNA_1.01.02_3842_0136.jpg", "viewer_url")</f>
        <v>viewer_url</v>
      </c>
      <c r="U508" t="str">
        <f>HYPERLINK("https://images.diginfra.net/iiif/NL-HaNA_1.01.02/3842/NL-HaNA_1.01.02_3842_0136.jpg/3351,716,885,2505/full/0/default.jpg", "iiif_url")</f>
        <v>iiif_url</v>
      </c>
      <c r="V508" t="s">
        <v>33</v>
      </c>
      <c r="W508" t="s">
        <v>2178</v>
      </c>
      <c r="X508" t="str">
        <f>HYPERLINK("https://images.diginfra.net/framed3.html?imagesetuuid=70f1fd11-1c44-41eb-aebd-1f9cc88be8c8&amp;uri=https://images.diginfra.net/iiif/NL-HaNA_1.01.02/3842/NL-HaNA_1.01.02_3842_0135.jpg", "prev_meeting_viewer_url")</f>
        <v>prev_meeting_viewer_url</v>
      </c>
      <c r="Y508" t="str">
        <f>HYPERLINK("https://images.diginfra.net/iiif/NL-HaNA_1.01.02/3842/NL-HaNA_1.01.02_3842_0135.jpg/2382,1810,1015,1553/full/0/default.jpg", "prev_meeting_iiif_url")</f>
        <v>prev_meeting_iiif_url</v>
      </c>
      <c r="Z508" t="s">
        <v>44</v>
      </c>
      <c r="AA508" t="s">
        <v>2179</v>
      </c>
      <c r="AB508" t="str">
        <f>HYPERLINK("https://images.diginfra.net/framed3.html?imagesetuuid=70f1fd11-1c44-41eb-aebd-1f9cc88be8c8&amp;uri=https://images.diginfra.net/iiif/NL-HaNA_1.01.02/3842/NL-HaNA_1.01.02_3842_0139.jpg", "next_meeting_viewer_url")</f>
        <v>next_meeting_viewer_url</v>
      </c>
      <c r="AC508" t="str">
        <f>HYPERLINK("https://images.diginfra.net/iiif/NL-HaNA_1.01.02/3842/NL-HaNA_1.01.02_3842_0139.jpg/316,1090,1073,2239/full/0/default.jpg", "next_meeting_iiif_url")</f>
        <v>next_meeting_iiif_url</v>
      </c>
    </row>
    <row r="509" spans="1:29" x14ac:dyDescent="0.2">
      <c r="A509" t="s">
        <v>2180</v>
      </c>
      <c r="B509" t="s">
        <v>59</v>
      </c>
      <c r="D509" t="b">
        <v>0</v>
      </c>
      <c r="E509" t="b">
        <v>0</v>
      </c>
      <c r="I509" t="s">
        <v>2181</v>
      </c>
      <c r="J509">
        <v>3834</v>
      </c>
      <c r="K509">
        <v>597</v>
      </c>
      <c r="N509">
        <f t="shared" si="9"/>
        <v>1194</v>
      </c>
      <c r="O509">
        <v>1192</v>
      </c>
      <c r="P509">
        <v>0</v>
      </c>
      <c r="Q509">
        <v>2</v>
      </c>
      <c r="R509">
        <v>0</v>
      </c>
      <c r="S509" t="s">
        <v>33</v>
      </c>
      <c r="T509" t="str">
        <f>HYPERLINK("https://images.diginfra.net/framed3.html?imagesetuuid=bf11cd8e-e3f4-444c-9caa-dcdfd20137d7&amp;uri=https://images.diginfra.net/iiif/NL-HaNA_1.01.02/3834/NL-HaNA_1.01.02_3834_0597.jpg", "viewer_url")</f>
        <v>viewer_url</v>
      </c>
      <c r="U509" t="str">
        <f>HYPERLINK("https://images.diginfra.net/iiif/NL-HaNA_1.01.02/3834/NL-HaNA_1.01.02_3834_0597.jpg/314,1400,1036,1876/full/0/default.jpg", "iiif_url")</f>
        <v>iiif_url</v>
      </c>
      <c r="V509" t="s">
        <v>33</v>
      </c>
      <c r="W509" t="s">
        <v>2182</v>
      </c>
      <c r="X509" t="str">
        <f>HYPERLINK("https://images.diginfra.net/framed3.html?imagesetuuid=bf11cd8e-e3f4-444c-9caa-dcdfd20137d7&amp;uri=https://images.diginfra.net/iiif/NL-HaNA_1.01.02/3834/NL-HaNA_1.01.02_3834_0595.jpg", "prev_meeting_viewer_url")</f>
        <v>prev_meeting_viewer_url</v>
      </c>
      <c r="Y509" t="str">
        <f>HYPERLINK("https://images.diginfra.net/iiif/NL-HaNA_1.01.02/3834/NL-HaNA_1.01.02_3834_0595.jpg/2359,318,1115,3150/full/0/default.jpg", "prev_meeting_iiif_url")</f>
        <v>prev_meeting_iiif_url</v>
      </c>
      <c r="Z509" t="s">
        <v>33</v>
      </c>
      <c r="AA509" t="s">
        <v>2183</v>
      </c>
      <c r="AB509" t="str">
        <f>HYPERLINK("https://images.diginfra.net/framed3.html?imagesetuuid=bf11cd8e-e3f4-444c-9caa-dcdfd20137d7&amp;uri=https://images.diginfra.net/iiif/NL-HaNA_1.01.02/3834/NL-HaNA_1.01.02_3834_0597.jpg", "next_meeting_viewer_url")</f>
        <v>next_meeting_viewer_url</v>
      </c>
      <c r="AC509" t="str">
        <f>HYPERLINK("https://images.diginfra.net/iiif/NL-HaNA_1.01.02/3834/NL-HaNA_1.01.02_3834_0597.jpg/314,1400,1036,1876/full/0/default.jpg", "next_meeting_iiif_url")</f>
        <v>next_meeting_iiif_url</v>
      </c>
    </row>
    <row r="510" spans="1:29" x14ac:dyDescent="0.2">
      <c r="A510" t="s">
        <v>2184</v>
      </c>
      <c r="B510" t="s">
        <v>79</v>
      </c>
      <c r="C510" t="s">
        <v>2185</v>
      </c>
      <c r="D510" t="b">
        <v>1</v>
      </c>
      <c r="E510" t="b">
        <v>1</v>
      </c>
      <c r="I510" t="s">
        <v>2186</v>
      </c>
      <c r="J510">
        <v>3773</v>
      </c>
      <c r="K510">
        <v>64</v>
      </c>
      <c r="L510">
        <v>369</v>
      </c>
      <c r="M510">
        <v>2679</v>
      </c>
      <c r="N510">
        <f t="shared" si="9"/>
        <v>128</v>
      </c>
      <c r="O510">
        <v>126</v>
      </c>
      <c r="P510">
        <v>0</v>
      </c>
      <c r="Q510">
        <v>1</v>
      </c>
      <c r="R510">
        <v>0</v>
      </c>
      <c r="S510" t="s">
        <v>33</v>
      </c>
      <c r="T510" t="str">
        <f>HYPERLINK("https://images.diginfra.net/framed3.html?imagesetuuid=0d0ede5e-a7f6-4a03-b996-493e50528c24&amp;uri=https://images.diginfra.net/iiif/NL-HaNA_1.01.02/3773/NL-HaNA_1.01.02_3773_0064.jpg", "viewer_url")</f>
        <v>viewer_url</v>
      </c>
      <c r="U510" t="str">
        <f>HYPERLINK("https://images.diginfra.net/iiif/NL-HaNA_1.01.02/3773/NL-HaNA_1.01.02_3773_0064.jpg/369,2679,856,623/full/0/default.jpg", "iiif_url")</f>
        <v>iiif_url</v>
      </c>
      <c r="V510" t="s">
        <v>33</v>
      </c>
      <c r="W510" t="s">
        <v>2187</v>
      </c>
      <c r="X510" t="str">
        <f>HYPERLINK("https://images.diginfra.net/framed3.html?imagesetuuid=0d0ede5e-a7f6-4a03-b996-493e50528c24&amp;uri=https://images.diginfra.net/iiif/NL-HaNA_1.01.02/3773/NL-HaNA_1.01.02_3773_0062.jpg", "prev_meeting_viewer_url")</f>
        <v>prev_meeting_viewer_url</v>
      </c>
      <c r="Y510" t="str">
        <f>HYPERLINK("https://images.diginfra.net/iiif/NL-HaNA_1.01.02/3773/NL-HaNA_1.01.02_3773_0062.jpg/1323,1936,1051,1468/full/0/default.jpg", "prev_meeting_iiif_url")</f>
        <v>prev_meeting_iiif_url</v>
      </c>
      <c r="Z510" t="s">
        <v>33</v>
      </c>
      <c r="AB510" t="str">
        <f>HYPERLINK("https://images.diginfra.net/framed3.html?imagesetuuid=0d0ede5e-a7f6-4a03-b996-493e50528c24&amp;uri=https://images.diginfra.net/iiif/NL-HaNA_1.01.02/3773/NL-HaNA_1.01.02_3773_0065.jpg", "next_meeting_viewer_url")</f>
        <v>next_meeting_viewer_url</v>
      </c>
      <c r="AC510" t="str">
        <f>HYPERLINK("https://images.diginfra.net/iiif/NL-HaNA_1.01.02/3773/NL-HaNA_1.01.02_3773_0065.jpg/2369,366,1107,2985/full/0/default.jpg", "next_meeting_iiif_url")</f>
        <v>next_meeting_iiif_url</v>
      </c>
    </row>
    <row r="511" spans="1:29" x14ac:dyDescent="0.2">
      <c r="A511" t="s">
        <v>2188</v>
      </c>
      <c r="B511" t="s">
        <v>37</v>
      </c>
      <c r="C511" t="s">
        <v>2189</v>
      </c>
      <c r="D511" t="b">
        <v>1</v>
      </c>
      <c r="E511" t="b">
        <v>1</v>
      </c>
      <c r="I511" t="s">
        <v>2190</v>
      </c>
      <c r="J511">
        <v>3763</v>
      </c>
      <c r="K511">
        <v>130</v>
      </c>
      <c r="L511">
        <v>3452</v>
      </c>
      <c r="M511">
        <v>2859</v>
      </c>
      <c r="N511">
        <f t="shared" si="9"/>
        <v>260</v>
      </c>
      <c r="O511">
        <v>259</v>
      </c>
      <c r="P511">
        <v>1</v>
      </c>
      <c r="Q511">
        <v>2</v>
      </c>
      <c r="R511">
        <v>0</v>
      </c>
      <c r="S511" t="s">
        <v>33</v>
      </c>
      <c r="T511" t="str">
        <f>HYPERLINK("https://images.diginfra.net/framed3.html?imagesetuuid=168ac05c-00de-43e1-bb35-d8e406b92363&amp;uri=https://images.diginfra.net/iiif/NL-HaNA_1.01.02/3763/NL-HaNA_1.01.02_3763_0130.jpg", "viewer_url")</f>
        <v>viewer_url</v>
      </c>
      <c r="U511" t="str">
        <f>HYPERLINK("https://images.diginfra.net/iiif/NL-HaNA_1.01.02/3763/NL-HaNA_1.01.02_3763_0130.jpg/3452,2859,853,444/full/0/default.jpg", "iiif_url")</f>
        <v>iiif_url</v>
      </c>
      <c r="V511" t="s">
        <v>33</v>
      </c>
      <c r="W511" t="s">
        <v>2191</v>
      </c>
      <c r="X511" t="str">
        <f>HYPERLINK("https://images.diginfra.net/framed3.html?imagesetuuid=168ac05c-00de-43e1-bb35-d8e406b92363&amp;uri=https://images.diginfra.net/iiif/NL-HaNA_1.01.02/3763/NL-HaNA_1.01.02_3763_0127.jpg", "prev_meeting_viewer_url")</f>
        <v>prev_meeting_viewer_url</v>
      </c>
      <c r="Y511" t="str">
        <f>HYPERLINK("https://images.diginfra.net/iiif/NL-HaNA_1.01.02/3763/NL-HaNA_1.01.02_3763_0127.jpg/1227,2480,1033,793/full/0/default.jpg", "prev_meeting_iiif_url")</f>
        <v>prev_meeting_iiif_url</v>
      </c>
      <c r="Z511" t="s">
        <v>33</v>
      </c>
      <c r="AA511" t="s">
        <v>2192</v>
      </c>
      <c r="AB511" t="str">
        <f>HYPERLINK("https://images.diginfra.net/framed3.html?imagesetuuid=168ac05c-00de-43e1-bb35-d8e406b92363&amp;uri=https://images.diginfra.net/iiif/NL-HaNA_1.01.02/3763/NL-HaNA_1.01.02_3763_0132.jpg", "next_meeting_viewer_url")</f>
        <v>next_meeting_viewer_url</v>
      </c>
      <c r="AC511" t="str">
        <f>HYPERLINK("https://images.diginfra.net/iiif/NL-HaNA_1.01.02/3763/NL-HaNA_1.01.02_3763_0132.jpg/2397,2538,1031,885/full/0/default.jpg", "next_meeting_iiif_url")</f>
        <v>next_meeting_iiif_url</v>
      </c>
    </row>
    <row r="512" spans="1:29" x14ac:dyDescent="0.2">
      <c r="A512" t="s">
        <v>2193</v>
      </c>
      <c r="B512" t="s">
        <v>59</v>
      </c>
      <c r="D512" t="b">
        <v>0</v>
      </c>
      <c r="E512" t="b">
        <v>0</v>
      </c>
      <c r="I512" t="s">
        <v>2194</v>
      </c>
      <c r="J512">
        <v>3821</v>
      </c>
      <c r="K512">
        <v>243</v>
      </c>
      <c r="N512">
        <f t="shared" si="9"/>
        <v>486</v>
      </c>
      <c r="O512">
        <v>485</v>
      </c>
      <c r="P512">
        <v>0</v>
      </c>
      <c r="Q512">
        <v>0</v>
      </c>
      <c r="R512">
        <v>0</v>
      </c>
      <c r="S512" t="s">
        <v>44</v>
      </c>
      <c r="T512" t="str">
        <f>HYPERLINK("https://images.diginfra.net/framed3.html?imagesetuuid=d2997452-8788-4796-912c-2151f3b459f9&amp;uri=https://images.diginfra.net/iiif/NL-HaNA_1.01.02/3821/NL-HaNA_1.01.02_3821_0243.jpg", "viewer_url")</f>
        <v>viewer_url</v>
      </c>
      <c r="U512" t="str">
        <f>HYPERLINK("https://images.diginfra.net/iiif/NL-HaNA_1.01.02/3821/NL-HaNA_1.01.02_3821_0243.jpg/2349,474,1065,2912/full/0/default.jpg", "iiif_url")</f>
        <v>iiif_url</v>
      </c>
      <c r="V512" t="s">
        <v>33</v>
      </c>
      <c r="W512" t="s">
        <v>2195</v>
      </c>
      <c r="X512" t="str">
        <f>HYPERLINK("https://images.diginfra.net/framed3.html?imagesetuuid=d2997452-8788-4796-912c-2151f3b459f9&amp;uri=https://images.diginfra.net/iiif/NL-HaNA_1.01.02/3821/NL-HaNA_1.01.02_3821_0242.jpg", "prev_meeting_viewer_url")</f>
        <v>prev_meeting_viewer_url</v>
      </c>
      <c r="Y512" t="str">
        <f>HYPERLINK("https://images.diginfra.net/iiif/NL-HaNA_1.01.02/3821/NL-HaNA_1.01.02_3821_0242.jpg/2403,2885,884,499/full/0/default.jpg", "prev_meeting_iiif_url")</f>
        <v>prev_meeting_iiif_url</v>
      </c>
      <c r="Z512" t="s">
        <v>44</v>
      </c>
      <c r="AA512" t="s">
        <v>2196</v>
      </c>
      <c r="AB512" t="str">
        <f>HYPERLINK("https://images.diginfra.net/framed3.html?imagesetuuid=d2997452-8788-4796-912c-2151f3b459f9&amp;uri=https://images.diginfra.net/iiif/NL-HaNA_1.01.02/3821/NL-HaNA_1.01.02_3821_0243.jpg", "next_meeting_viewer_url")</f>
        <v>next_meeting_viewer_url</v>
      </c>
      <c r="AC512" t="str">
        <f>HYPERLINK("https://images.diginfra.net/iiif/NL-HaNA_1.01.02/3821/NL-HaNA_1.01.02_3821_0243.jpg/2349,474,1065,2912/full/0/default.jpg", "next_meeting_iiif_url")</f>
        <v>next_meeting_iiif_url</v>
      </c>
    </row>
    <row r="513" spans="1:29" x14ac:dyDescent="0.2">
      <c r="A513" t="s">
        <v>2197</v>
      </c>
      <c r="B513" t="s">
        <v>48</v>
      </c>
      <c r="C513" t="s">
        <v>2198</v>
      </c>
      <c r="D513" t="b">
        <v>1</v>
      </c>
      <c r="E513" t="b">
        <v>1</v>
      </c>
      <c r="I513" t="s">
        <v>2199</v>
      </c>
      <c r="J513">
        <v>3781</v>
      </c>
      <c r="K513">
        <v>306</v>
      </c>
      <c r="L513">
        <v>1347</v>
      </c>
      <c r="M513">
        <v>944</v>
      </c>
      <c r="N513">
        <f t="shared" si="9"/>
        <v>612</v>
      </c>
      <c r="O513">
        <v>610</v>
      </c>
      <c r="P513">
        <v>1</v>
      </c>
      <c r="Q513">
        <v>1</v>
      </c>
      <c r="R513">
        <v>0</v>
      </c>
      <c r="S513" t="s">
        <v>33</v>
      </c>
      <c r="T513" t="str">
        <f>HYPERLINK("https://images.diginfra.net/framed3.html?imagesetuuid=7806433b-7f26-4d4e-8e76-37d108a188de&amp;uri=https://images.diginfra.net/iiif/NL-HaNA_1.01.02/3781/NL-HaNA_1.01.02_3781_0306.jpg", "viewer_url")</f>
        <v>viewer_url</v>
      </c>
      <c r="U513" t="str">
        <f>HYPERLINK("https://images.diginfra.net/iiif/NL-HaNA_1.01.02/3781/NL-HaNA_1.01.02_3781_0306.jpg/1347,944,910,2399/full/0/default.jpg", "iiif_url")</f>
        <v>iiif_url</v>
      </c>
      <c r="V513" t="s">
        <v>33</v>
      </c>
      <c r="W513" t="s">
        <v>2200</v>
      </c>
      <c r="X513" t="str">
        <f>HYPERLINK("https://images.diginfra.net/framed3.html?imagesetuuid=7806433b-7f26-4d4e-8e76-37d108a188de&amp;uri=https://images.diginfra.net/iiif/NL-HaNA_1.01.02/3781/NL-HaNA_1.01.02_3781_0305.jpg", "prev_meeting_viewer_url")</f>
        <v>prev_meeting_viewer_url</v>
      </c>
      <c r="Y513" t="str">
        <f>HYPERLINK("https://images.diginfra.net/iiif/NL-HaNA_1.01.02/3781/NL-HaNA_1.01.02_3781_0305.jpg/1309,2085,1101,1378/full/0/default.jpg", "prev_meeting_iiif_url")</f>
        <v>prev_meeting_iiif_url</v>
      </c>
      <c r="Z513" t="s">
        <v>33</v>
      </c>
      <c r="AA513" t="s">
        <v>2201</v>
      </c>
      <c r="AB513" t="str">
        <f>HYPERLINK("https://images.diginfra.net/framed3.html?imagesetuuid=7806433b-7f26-4d4e-8e76-37d108a188de&amp;uri=https://images.diginfra.net/iiif/NL-HaNA_1.01.02/3781/NL-HaNA_1.01.02_3781_0307.jpg", "next_meeting_viewer_url")</f>
        <v>next_meeting_viewer_url</v>
      </c>
      <c r="AC513" t="str">
        <f>HYPERLINK("https://images.diginfra.net/iiif/NL-HaNA_1.01.02/3781/NL-HaNA_1.01.02_3781_0307.jpg/3527,2779,1040,640/full/0/default.jpg", "next_meeting_iiif_url")</f>
        <v>next_meeting_iiif_url</v>
      </c>
    </row>
    <row r="514" spans="1:29" x14ac:dyDescent="0.2">
      <c r="A514" t="s">
        <v>2202</v>
      </c>
      <c r="B514" t="s">
        <v>79</v>
      </c>
      <c r="C514" t="s">
        <v>2203</v>
      </c>
      <c r="D514" t="b">
        <v>1</v>
      </c>
      <c r="E514" t="b">
        <v>1</v>
      </c>
      <c r="I514" t="s">
        <v>2204</v>
      </c>
      <c r="J514">
        <v>3774</v>
      </c>
      <c r="K514">
        <v>384</v>
      </c>
      <c r="L514">
        <v>3346</v>
      </c>
      <c r="M514">
        <v>1845</v>
      </c>
      <c r="N514">
        <f t="shared" ref="N514:N528" si="10">K514*2</f>
        <v>768</v>
      </c>
      <c r="O514">
        <v>767</v>
      </c>
      <c r="P514">
        <v>1</v>
      </c>
      <c r="Q514">
        <v>2</v>
      </c>
      <c r="R514">
        <v>0</v>
      </c>
      <c r="S514" t="s">
        <v>33</v>
      </c>
      <c r="T514" t="str">
        <f>HYPERLINK("https://images.diginfra.net/framed3.html?imagesetuuid=a94d24a1-7932-4b81-a3e6-04161d471ec1&amp;uri=https://images.diginfra.net/iiif/NL-HaNA_1.01.02/3774/NL-HaNA_1.01.02_3774_0384.jpg", "viewer_url")</f>
        <v>viewer_url</v>
      </c>
      <c r="U514" t="str">
        <f>HYPERLINK("https://images.diginfra.net/iiif/NL-HaNA_1.01.02/3774/NL-HaNA_1.01.02_3774_0384.jpg/3346,1845,906,1464/full/0/default.jpg", "iiif_url")</f>
        <v>iiif_url</v>
      </c>
      <c r="V514" t="s">
        <v>33</v>
      </c>
      <c r="W514" t="s">
        <v>2205</v>
      </c>
      <c r="X514" t="str">
        <f>HYPERLINK("https://images.diginfra.net/framed3.html?imagesetuuid=a94d24a1-7932-4b81-a3e6-04161d471ec1&amp;uri=https://images.diginfra.net/iiif/NL-HaNA_1.01.02/3774/NL-HaNA_1.01.02_3774_0383.jpg", "prev_meeting_viewer_url")</f>
        <v>prev_meeting_viewer_url</v>
      </c>
      <c r="Y514" t="str">
        <f>HYPERLINK("https://images.diginfra.net/iiif/NL-HaNA_1.01.02/3774/NL-HaNA_1.01.02_3774_0383.jpg/3256,491,1151,2967/full/0/default.jpg", "prev_meeting_iiif_url")</f>
        <v>prev_meeting_iiif_url</v>
      </c>
      <c r="Z514" t="s">
        <v>44</v>
      </c>
      <c r="AA514" t="s">
        <v>2206</v>
      </c>
      <c r="AB514" t="str">
        <f>HYPERLINK("https://images.diginfra.net/framed3.html?imagesetuuid=a94d24a1-7932-4b81-a3e6-04161d471ec1&amp;uri=https://images.diginfra.net/iiif/NL-HaNA_1.01.02/3774/NL-HaNA_1.01.02_3774_0385.jpg", "next_meeting_viewer_url")</f>
        <v>next_meeting_viewer_url</v>
      </c>
      <c r="AC514" t="str">
        <f>HYPERLINK("https://images.diginfra.net/iiif/NL-HaNA_1.01.02/3774/NL-HaNA_1.01.02_3774_0385.jpg/1402,2973,720,367/full/0/default.jpg", "next_meeting_iiif_url")</f>
        <v>next_meeting_iiif_url</v>
      </c>
    </row>
    <row r="515" spans="1:29" x14ac:dyDescent="0.2">
      <c r="A515" t="s">
        <v>2207</v>
      </c>
      <c r="B515" t="s">
        <v>37</v>
      </c>
      <c r="C515" t="s">
        <v>2208</v>
      </c>
      <c r="D515" t="b">
        <v>1</v>
      </c>
      <c r="E515" t="b">
        <v>1</v>
      </c>
      <c r="I515" t="s">
        <v>2209</v>
      </c>
      <c r="J515">
        <v>3786</v>
      </c>
      <c r="K515">
        <v>59</v>
      </c>
      <c r="L515">
        <v>2478</v>
      </c>
      <c r="M515">
        <v>621</v>
      </c>
      <c r="N515">
        <f t="shared" si="10"/>
        <v>118</v>
      </c>
      <c r="O515">
        <v>117</v>
      </c>
      <c r="P515">
        <v>0</v>
      </c>
      <c r="Q515">
        <v>1</v>
      </c>
      <c r="R515">
        <v>0</v>
      </c>
      <c r="S515" t="s">
        <v>33</v>
      </c>
      <c r="T515" t="str">
        <f>HYPERLINK("https://images.diginfra.net/framed3.html?imagesetuuid=508661ee-474e-44be-a74a-8aac34348aeb&amp;uri=https://images.diginfra.net/iiif/NL-HaNA_1.01.02/3786/NL-HaNA_1.01.02_3786_0059.jpg", "viewer_url")</f>
        <v>viewer_url</v>
      </c>
      <c r="U515" t="str">
        <f>HYPERLINK("https://images.diginfra.net/iiif/NL-HaNA_1.01.02/3786/NL-HaNA_1.01.02_3786_0059.jpg/2478,621,902,2703/full/0/default.jpg", "iiif_url")</f>
        <v>iiif_url</v>
      </c>
      <c r="V515" t="s">
        <v>33</v>
      </c>
      <c r="W515" t="s">
        <v>2210</v>
      </c>
      <c r="X515" t="str">
        <f>HYPERLINK("https://images.diginfra.net/framed3.html?imagesetuuid=508661ee-474e-44be-a74a-8aac34348aeb&amp;uri=https://images.diginfra.net/iiif/NL-HaNA_1.01.02/3786/NL-HaNA_1.01.02_3786_0058.jpg", "prev_meeting_viewer_url")</f>
        <v>prev_meeting_viewer_url</v>
      </c>
      <c r="Y515" t="str">
        <f>HYPERLINK("https://images.diginfra.net/iiif/NL-HaNA_1.01.02/3786/NL-HaNA_1.01.02_3786_0058.jpg/259,1224,1108,2157/full/0/default.jpg", "prev_meeting_iiif_url")</f>
        <v>prev_meeting_iiif_url</v>
      </c>
      <c r="Z515" t="s">
        <v>44</v>
      </c>
      <c r="AA515" t="s">
        <v>2211</v>
      </c>
      <c r="AB515" t="str">
        <f>HYPERLINK("https://images.diginfra.net/framed3.html?imagesetuuid=508661ee-474e-44be-a74a-8aac34348aeb&amp;uri=https://images.diginfra.net/iiif/NL-HaNA_1.01.02/3786/NL-HaNA_1.01.02_3786_0060.jpg", "next_meeting_viewer_url")</f>
        <v>next_meeting_viewer_url</v>
      </c>
      <c r="AC515" t="str">
        <f>HYPERLINK("https://images.diginfra.net/iiif/NL-HaNA_1.01.02/3786/NL-HaNA_1.01.02_3786_0060.jpg/287,1106,1088,2330/full/0/default.jpg", "next_meeting_iiif_url")</f>
        <v>next_meeting_iiif_url</v>
      </c>
    </row>
    <row r="516" spans="1:29" x14ac:dyDescent="0.2">
      <c r="A516" t="s">
        <v>2212</v>
      </c>
      <c r="B516" t="s">
        <v>85</v>
      </c>
      <c r="C516" t="s">
        <v>573</v>
      </c>
      <c r="D516" t="b">
        <v>1</v>
      </c>
      <c r="E516" t="b">
        <v>1</v>
      </c>
      <c r="I516" t="s">
        <v>2213</v>
      </c>
      <c r="J516">
        <v>3815</v>
      </c>
      <c r="K516">
        <v>512</v>
      </c>
      <c r="L516">
        <v>3432</v>
      </c>
      <c r="M516">
        <v>2416</v>
      </c>
      <c r="N516">
        <f t="shared" si="10"/>
        <v>1024</v>
      </c>
      <c r="O516">
        <v>1023</v>
      </c>
      <c r="P516">
        <v>0</v>
      </c>
      <c r="Q516">
        <v>1</v>
      </c>
      <c r="R516">
        <v>51</v>
      </c>
      <c r="S516" t="s">
        <v>33</v>
      </c>
      <c r="T516" t="str">
        <f>HYPERLINK("https://images.diginfra.net/framed3.html?imagesetuuid=c649f39d-5b94-4d9d-8000-33acd4342c36&amp;uri=https://images.diginfra.net/iiif/NL-HaNA_1.01.02/3815/NL-HaNA_1.01.02_3815_0512.jpg", "viewer_url")</f>
        <v>viewer_url</v>
      </c>
      <c r="U516" t="str">
        <f>HYPERLINK("https://images.diginfra.net/iiif/NL-HaNA_1.01.02/3815/NL-HaNA_1.01.02_3815_0512.jpg/3432,2416,864,903/full/0/default.jpg", "iiif_url")</f>
        <v>iiif_url</v>
      </c>
      <c r="V516" t="s">
        <v>33</v>
      </c>
      <c r="W516" t="s">
        <v>570</v>
      </c>
      <c r="X516" t="str">
        <f>HYPERLINK("https://images.diginfra.net/framed3.html?imagesetuuid=c649f39d-5b94-4d9d-8000-33acd4342c36&amp;uri=https://images.diginfra.net/iiif/NL-HaNA_1.01.02/3815/NL-HaNA_1.01.02_3815_0511.jpg", "prev_meeting_viewer_url")</f>
        <v>prev_meeting_viewer_url</v>
      </c>
      <c r="Y516" t="str">
        <f>HYPERLINK("https://images.diginfra.net/iiif/NL-HaNA_1.01.02/3815/NL-HaNA_1.01.02_3815_0511.jpg/268,2016,1112,1342/full/0/default.jpg", "prev_meeting_iiif_url")</f>
        <v>prev_meeting_iiif_url</v>
      </c>
      <c r="Z516" t="s">
        <v>44</v>
      </c>
      <c r="AA516" t="s">
        <v>2214</v>
      </c>
      <c r="AB516" t="str">
        <f>HYPERLINK("https://images.diginfra.net/framed3.html?imagesetuuid=c649f39d-5b94-4d9d-8000-33acd4342c36&amp;uri=https://images.diginfra.net/iiif/NL-HaNA_1.01.02/3815/NL-HaNA_1.01.02_3815_0515.jpg", "next_meeting_viewer_url")</f>
        <v>next_meeting_viewer_url</v>
      </c>
      <c r="AC516" t="str">
        <f>HYPERLINK("https://images.diginfra.net/iiif/NL-HaNA_1.01.02/3815/NL-HaNA_1.01.02_3815_0515.jpg/3270,1190,1099,2214/full/0/default.jpg", "next_meeting_iiif_url")</f>
        <v>next_meeting_iiif_url</v>
      </c>
    </row>
    <row r="517" spans="1:29" x14ac:dyDescent="0.2">
      <c r="A517" t="s">
        <v>2215</v>
      </c>
      <c r="B517" t="s">
        <v>48</v>
      </c>
      <c r="D517" t="b">
        <v>1</v>
      </c>
      <c r="E517" t="b">
        <v>0</v>
      </c>
      <c r="L517">
        <v>1359</v>
      </c>
      <c r="M517">
        <v>542</v>
      </c>
      <c r="N517">
        <f t="shared" si="10"/>
        <v>0</v>
      </c>
      <c r="T517" t="str">
        <f>HYPERLINK("None", "viewer_url")</f>
        <v>viewer_url</v>
      </c>
      <c r="U517" t="str">
        <f>HYPERLINK("https://images.diginfra.net/iiif/NL-HaNA_1.01.02/3777/NL-HaNA_1.01.02_3777_0464.jpg/1359,542,913,2774/full/0/default.jpg", "iiif_url")</f>
        <v>iiif_url</v>
      </c>
      <c r="Z517" t="s">
        <v>44</v>
      </c>
      <c r="AA517" t="s">
        <v>1011</v>
      </c>
      <c r="AB517" t="str">
        <f>HYPERLINK("https://images.diginfra.net/framed3.html?imagesetuuid=d79a5b0f-25ac-4440-9b23-adc237614d07&amp;uri=https://images.diginfra.net/iiif/NL-HaNA_1.01.02/3777/NL-HaNA_1.01.02_3777_0465.jpg", "next_meeting_viewer_url")</f>
        <v>next_meeting_viewer_url</v>
      </c>
      <c r="AC517" t="str">
        <f>HYPERLINK("https://images.diginfra.net/iiif/NL-HaNA_1.01.02/3777/NL-HaNA_1.01.02_3777_0465.jpg/3540,2490,1053,901/full/0/default.jpg", "next_meeting_iiif_url")</f>
        <v>next_meeting_iiif_url</v>
      </c>
    </row>
    <row r="518" spans="1:29" x14ac:dyDescent="0.2">
      <c r="A518" t="s">
        <v>2216</v>
      </c>
      <c r="B518" t="s">
        <v>37</v>
      </c>
      <c r="C518" t="s">
        <v>2217</v>
      </c>
      <c r="D518" t="b">
        <v>1</v>
      </c>
      <c r="E518" t="b">
        <v>1</v>
      </c>
      <c r="I518" t="s">
        <v>2218</v>
      </c>
      <c r="J518">
        <v>3777</v>
      </c>
      <c r="K518">
        <v>72</v>
      </c>
      <c r="L518">
        <v>3636</v>
      </c>
      <c r="M518">
        <v>2112</v>
      </c>
      <c r="N518">
        <f t="shared" si="10"/>
        <v>144</v>
      </c>
      <c r="O518">
        <v>143</v>
      </c>
      <c r="P518">
        <v>1</v>
      </c>
      <c r="Q518">
        <v>2</v>
      </c>
      <c r="R518">
        <v>0</v>
      </c>
      <c r="S518" t="s">
        <v>33</v>
      </c>
      <c r="T518" t="str">
        <f>HYPERLINK("https://images.diginfra.net/framed3.html?imagesetuuid=d79a5b0f-25ac-4440-9b23-adc237614d07&amp;uri=https://images.diginfra.net/iiif/NL-HaNA_1.01.02/3777/NL-HaNA_1.01.02_3777_0072.jpg", "viewer_url")</f>
        <v>viewer_url</v>
      </c>
      <c r="U518" t="str">
        <f>HYPERLINK("https://images.diginfra.net/iiif/NL-HaNA_1.01.02/3777/NL-HaNA_1.01.02_3777_0072.jpg/3636,2112,910,1132/full/0/default.jpg", "iiif_url")</f>
        <v>iiif_url</v>
      </c>
      <c r="V518" t="s">
        <v>33</v>
      </c>
      <c r="W518" t="s">
        <v>2219</v>
      </c>
      <c r="X518" t="str">
        <f>HYPERLINK("https://images.diginfra.net/framed3.html?imagesetuuid=d79a5b0f-25ac-4440-9b23-adc237614d07&amp;uri=https://images.diginfra.net/iiif/NL-HaNA_1.01.02/3777/NL-HaNA_1.01.02_3777_0071.jpg", "prev_meeting_viewer_url")</f>
        <v>prev_meeting_viewer_url</v>
      </c>
      <c r="Y518" t="str">
        <f>HYPERLINK("https://images.diginfra.net/iiif/NL-HaNA_1.01.02/3777/NL-HaNA_1.01.02_3777_0071.jpg/1275,1557,1106,1850/full/0/default.jpg", "prev_meeting_iiif_url")</f>
        <v>prev_meeting_iiif_url</v>
      </c>
      <c r="Z518" t="s">
        <v>33</v>
      </c>
      <c r="AA518" t="s">
        <v>2220</v>
      </c>
      <c r="AB518" t="str">
        <f>HYPERLINK("https://images.diginfra.net/framed3.html?imagesetuuid=d79a5b0f-25ac-4440-9b23-adc237614d07&amp;uri=https://images.diginfra.net/iiif/NL-HaNA_1.01.02/3777/NL-HaNA_1.01.02_3777_0074.jpg", "next_meeting_viewer_url")</f>
        <v>next_meeting_viewer_url</v>
      </c>
      <c r="AC518" t="str">
        <f>HYPERLINK("https://images.diginfra.net/iiif/NL-HaNA_1.01.02/3777/NL-HaNA_1.01.02_3777_0074.jpg/302,1388,1098,1916/full/0/default.jpg", "next_meeting_iiif_url")</f>
        <v>next_meeting_iiif_url</v>
      </c>
    </row>
    <row r="519" spans="1:29" x14ac:dyDescent="0.2">
      <c r="A519" t="s">
        <v>2221</v>
      </c>
      <c r="B519" t="s">
        <v>63</v>
      </c>
      <c r="D519" t="b">
        <v>0</v>
      </c>
      <c r="E519" t="b">
        <v>0</v>
      </c>
      <c r="I519" t="s">
        <v>2222</v>
      </c>
      <c r="J519">
        <v>3821</v>
      </c>
      <c r="K519">
        <v>323</v>
      </c>
      <c r="N519">
        <f t="shared" si="10"/>
        <v>646</v>
      </c>
      <c r="O519">
        <v>644</v>
      </c>
      <c r="P519">
        <v>1</v>
      </c>
      <c r="Q519">
        <v>0</v>
      </c>
      <c r="R519">
        <v>45</v>
      </c>
      <c r="S519" t="s">
        <v>33</v>
      </c>
      <c r="T519" t="str">
        <f>HYPERLINK("https://images.diginfra.net/framed3.html?imagesetuuid=d2997452-8788-4796-912c-2151f3b459f9&amp;uri=https://images.diginfra.net/iiif/NL-HaNA_1.01.02/3821/NL-HaNA_1.01.02_3821_0323.jpg", "viewer_url")</f>
        <v>viewer_url</v>
      </c>
      <c r="U519" t="str">
        <f>HYPERLINK("https://images.diginfra.net/iiif/NL-HaNA_1.01.02/3821/NL-HaNA_1.01.02_3821_0323.jpg/1163,2189,1077,1297/full/0/default.jpg", "iiif_url")</f>
        <v>iiif_url</v>
      </c>
      <c r="V519" t="s">
        <v>33</v>
      </c>
      <c r="X519" t="str">
        <f>HYPERLINK("https://images.diginfra.net/framed3.html?imagesetuuid=d2997452-8788-4796-912c-2151f3b459f9&amp;uri=https://images.diginfra.net/iiif/NL-HaNA_1.01.02/3821/NL-HaNA_1.01.02_3821_0321.jpg", "prev_meeting_viewer_url")</f>
        <v>prev_meeting_viewer_url</v>
      </c>
      <c r="Y519" t="str">
        <f>HYPERLINK("https://images.diginfra.net/iiif/NL-HaNA_1.01.02/3821/NL-HaNA_1.01.02_3821_0321.jpg/2311,392,1107,3035/full/0/default.jpg", "prev_meeting_iiif_url")</f>
        <v>prev_meeting_iiif_url</v>
      </c>
      <c r="Z519" t="s">
        <v>33</v>
      </c>
      <c r="AA519" t="s">
        <v>931</v>
      </c>
      <c r="AB519" t="str">
        <f>HYPERLINK("https://images.diginfra.net/framed3.html?imagesetuuid=d2997452-8788-4796-912c-2151f3b459f9&amp;uri=https://images.diginfra.net/iiif/NL-HaNA_1.01.02/3821/NL-HaNA_1.01.02_3821_0323.jpg", "next_meeting_viewer_url")</f>
        <v>next_meeting_viewer_url</v>
      </c>
      <c r="AC519" t="str">
        <f>HYPERLINK("https://images.diginfra.net/iiif/NL-HaNA_1.01.02/3821/NL-HaNA_1.01.02_3821_0323.jpg/1163,2189,1077,1297/full/0/default.jpg", "next_meeting_iiif_url")</f>
        <v>next_meeting_iiif_url</v>
      </c>
    </row>
    <row r="520" spans="1:29" x14ac:dyDescent="0.2">
      <c r="A520" t="s">
        <v>2223</v>
      </c>
      <c r="B520" t="s">
        <v>37</v>
      </c>
      <c r="C520" t="s">
        <v>1101</v>
      </c>
      <c r="D520" t="b">
        <v>1</v>
      </c>
      <c r="E520" t="b">
        <v>1</v>
      </c>
      <c r="I520" t="s">
        <v>2224</v>
      </c>
      <c r="J520">
        <v>3823</v>
      </c>
      <c r="K520">
        <v>238</v>
      </c>
      <c r="L520">
        <v>1388</v>
      </c>
      <c r="M520">
        <v>2629</v>
      </c>
      <c r="N520">
        <f t="shared" si="10"/>
        <v>476</v>
      </c>
      <c r="O520">
        <v>474</v>
      </c>
      <c r="P520">
        <v>1</v>
      </c>
      <c r="Q520">
        <v>4</v>
      </c>
      <c r="R520">
        <v>0</v>
      </c>
      <c r="S520" t="s">
        <v>33</v>
      </c>
      <c r="T520" t="str">
        <f>HYPERLINK("https://images.diginfra.net/framed3.html?imagesetuuid=08f55768-66d4-4560-816c-70f4ea910842&amp;uri=https://images.diginfra.net/iiif/NL-HaNA_1.01.02/3823/NL-HaNA_1.01.02_3823_0238.jpg", "viewer_url")</f>
        <v>viewer_url</v>
      </c>
      <c r="U520" t="str">
        <f>HYPERLINK("https://images.diginfra.net/iiif/NL-HaNA_1.01.02/3823/NL-HaNA_1.01.02_3823_0238.jpg/1388,2629,822,582/full/0/default.jpg", "iiif_url")</f>
        <v>iiif_url</v>
      </c>
      <c r="V520" t="s">
        <v>33</v>
      </c>
      <c r="W520" t="s">
        <v>2225</v>
      </c>
      <c r="X520" t="str">
        <f>HYPERLINK("https://images.diginfra.net/framed3.html?imagesetuuid=08f55768-66d4-4560-816c-70f4ea910842&amp;uri=https://images.diginfra.net/iiif/NL-HaNA_1.01.02/3823/NL-HaNA_1.01.02_3823_0238.jpg", "prev_meeting_viewer_url")</f>
        <v>prev_meeting_viewer_url</v>
      </c>
      <c r="Y520" t="str">
        <f>HYPERLINK("https://images.diginfra.net/iiif/NL-HaNA_1.01.02/3823/NL-HaNA_1.01.02_3823_0238.jpg/290,1321,1078,1899/full/0/default.jpg", "prev_meeting_iiif_url")</f>
        <v>prev_meeting_iiif_url</v>
      </c>
      <c r="Z520" t="s">
        <v>33</v>
      </c>
      <c r="AA520" t="s">
        <v>2226</v>
      </c>
      <c r="AB520" t="str">
        <f>HYPERLINK("https://images.diginfra.net/framed3.html?imagesetuuid=08f55768-66d4-4560-816c-70f4ea910842&amp;uri=https://images.diginfra.net/iiif/NL-HaNA_1.01.02/3823/NL-HaNA_1.01.02_3823_0239.jpg", "next_meeting_viewer_url")</f>
        <v>next_meeting_viewer_url</v>
      </c>
      <c r="AC520" t="str">
        <f>HYPERLINK("https://images.diginfra.net/iiif/NL-HaNA_1.01.02/3823/NL-HaNA_1.01.02_3823_0239.jpg/2332,1024,1061,2312/full/0/default.jpg", "next_meeting_iiif_url")</f>
        <v>next_meeting_iiif_url</v>
      </c>
    </row>
    <row r="521" spans="1:29" x14ac:dyDescent="0.2">
      <c r="A521" t="s">
        <v>2227</v>
      </c>
      <c r="B521" t="s">
        <v>48</v>
      </c>
      <c r="C521" t="s">
        <v>68</v>
      </c>
      <c r="D521" t="b">
        <v>1</v>
      </c>
      <c r="E521" t="b">
        <v>1</v>
      </c>
      <c r="I521" t="s">
        <v>2228</v>
      </c>
      <c r="J521">
        <v>3796</v>
      </c>
      <c r="K521">
        <v>456</v>
      </c>
      <c r="L521">
        <v>373</v>
      </c>
      <c r="M521">
        <v>903</v>
      </c>
      <c r="N521">
        <f t="shared" si="10"/>
        <v>912</v>
      </c>
      <c r="O521">
        <v>910</v>
      </c>
      <c r="P521">
        <v>0</v>
      </c>
      <c r="Q521">
        <v>1</v>
      </c>
      <c r="R521">
        <v>0</v>
      </c>
      <c r="S521" t="s">
        <v>33</v>
      </c>
      <c r="T521" t="str">
        <f>HYPERLINK("https://images.diginfra.net/framed3.html?imagesetuuid=ece8f80b-0549-4e73-82ff-af47ed8525ac&amp;uri=https://images.diginfra.net/iiif/NL-HaNA_1.01.02/3796/NL-HaNA_1.01.02_3796_0456.jpg", "viewer_url")</f>
        <v>viewer_url</v>
      </c>
      <c r="U521" t="str">
        <f>HYPERLINK("https://images.diginfra.net/iiif/NL-HaNA_1.01.02/3796/NL-HaNA_1.01.02_3796_0456.jpg/373,903,918,2410/full/0/default.jpg", "iiif_url")</f>
        <v>iiif_url</v>
      </c>
      <c r="V521" t="s">
        <v>33</v>
      </c>
      <c r="W521" t="s">
        <v>2229</v>
      </c>
      <c r="X521" t="str">
        <f>HYPERLINK("https://images.diginfra.net/framed3.html?imagesetuuid=ece8f80b-0549-4e73-82ff-af47ed8525ac&amp;uri=https://images.diginfra.net/iiif/NL-HaNA_1.01.02/3796/NL-HaNA_1.01.02_3796_0454.jpg", "prev_meeting_viewer_url")</f>
        <v>prev_meeting_viewer_url</v>
      </c>
      <c r="Y521" t="str">
        <f>HYPERLINK("https://images.diginfra.net/iiif/NL-HaNA_1.01.02/3796/NL-HaNA_1.01.02_3796_0454.jpg/259,1870,1095,1492/full/0/default.jpg", "prev_meeting_iiif_url")</f>
        <v>prev_meeting_iiif_url</v>
      </c>
      <c r="Z521" t="s">
        <v>33</v>
      </c>
      <c r="AA521" t="s">
        <v>2230</v>
      </c>
      <c r="AB521" t="str">
        <f>HYPERLINK("https://images.diginfra.net/framed3.html?imagesetuuid=ece8f80b-0549-4e73-82ff-af47ed8525ac&amp;uri=https://images.diginfra.net/iiif/NL-HaNA_1.01.02/3796/NL-HaNA_1.01.02_3796_0457.jpg", "next_meeting_viewer_url")</f>
        <v>next_meeting_viewer_url</v>
      </c>
      <c r="AC521" t="str">
        <f>HYPERLINK("https://images.diginfra.net/iiif/NL-HaNA_1.01.02/3796/NL-HaNA_1.01.02_3796_0457.jpg/3443,2237,1034,1141/full/0/default.jpg", "next_meeting_iiif_url")</f>
        <v>next_meeting_iiif_url</v>
      </c>
    </row>
    <row r="522" spans="1:29" x14ac:dyDescent="0.2">
      <c r="A522" t="s">
        <v>2231</v>
      </c>
      <c r="B522" t="s">
        <v>30</v>
      </c>
      <c r="C522" t="s">
        <v>2232</v>
      </c>
      <c r="D522" t="b">
        <v>1</v>
      </c>
      <c r="E522" t="b">
        <v>1</v>
      </c>
      <c r="I522" t="s">
        <v>2233</v>
      </c>
      <c r="J522">
        <v>3776</v>
      </c>
      <c r="K522">
        <v>193</v>
      </c>
      <c r="L522">
        <v>3601</v>
      </c>
      <c r="M522">
        <v>2692</v>
      </c>
      <c r="N522">
        <f t="shared" si="10"/>
        <v>386</v>
      </c>
      <c r="O522">
        <v>385</v>
      </c>
      <c r="P522">
        <v>1</v>
      </c>
      <c r="Q522">
        <v>2</v>
      </c>
      <c r="R522">
        <v>0</v>
      </c>
      <c r="S522" t="s">
        <v>33</v>
      </c>
      <c r="T522" t="str">
        <f>HYPERLINK("https://images.diginfra.net/framed3.html?imagesetuuid=cce3dc39-04f4-4d57-b3db-fdf0a2653e66&amp;uri=https://images.diginfra.net/iiif/NL-HaNA_1.01.02/3776/NL-HaNA_1.01.02_3776_0193.jpg", "viewer_url")</f>
        <v>viewer_url</v>
      </c>
      <c r="U522" t="str">
        <f>HYPERLINK("https://images.diginfra.net/iiif/NL-HaNA_1.01.02/3776/NL-HaNA_1.01.02_3776_0193.jpg/3601,2692,852,607/full/0/default.jpg", "iiif_url")</f>
        <v>iiif_url</v>
      </c>
      <c r="Z522" t="s">
        <v>33</v>
      </c>
      <c r="AA522" t="s">
        <v>2234</v>
      </c>
      <c r="AB522" t="str">
        <f>HYPERLINK("https://images.diginfra.net/framed3.html?imagesetuuid=cce3dc39-04f4-4d57-b3db-fdf0a2653e66&amp;uri=https://images.diginfra.net/iiif/NL-HaNA_1.01.02/3776/NL-HaNA_1.01.02_3776_0195.jpg", "next_meeting_viewer_url")</f>
        <v>next_meeting_viewer_url</v>
      </c>
      <c r="AC522" t="str">
        <f>HYPERLINK("https://images.diginfra.net/iiif/NL-HaNA_1.01.02/3776/NL-HaNA_1.01.02_3776_0195.jpg/3463,1663,1091,1690/full/0/default.jpg", "next_meeting_iiif_url")</f>
        <v>next_meeting_iiif_url</v>
      </c>
    </row>
    <row r="523" spans="1:29" x14ac:dyDescent="0.2">
      <c r="A523" t="s">
        <v>2235</v>
      </c>
      <c r="B523" t="s">
        <v>79</v>
      </c>
      <c r="C523" t="s">
        <v>2236</v>
      </c>
      <c r="D523" t="b">
        <v>1</v>
      </c>
      <c r="E523" t="b">
        <v>1</v>
      </c>
      <c r="I523" t="s">
        <v>2237</v>
      </c>
      <c r="J523">
        <v>3800</v>
      </c>
      <c r="K523">
        <v>118</v>
      </c>
      <c r="L523">
        <v>2563</v>
      </c>
      <c r="M523">
        <v>1608</v>
      </c>
      <c r="N523">
        <f t="shared" si="10"/>
        <v>236</v>
      </c>
      <c r="O523">
        <v>235</v>
      </c>
      <c r="P523">
        <v>0</v>
      </c>
      <c r="Q523">
        <v>2</v>
      </c>
      <c r="R523">
        <v>0</v>
      </c>
      <c r="S523" t="s">
        <v>33</v>
      </c>
      <c r="T523" t="str">
        <f>HYPERLINK("https://images.diginfra.net/framed3.html?imagesetuuid=a9adb8ed-3212-4745-a472-51257845b9e2&amp;uri=https://images.diginfra.net/iiif/NL-HaNA_1.01.02/3800/NL-HaNA_1.01.02_3800_0118.jpg", "viewer_url")</f>
        <v>viewer_url</v>
      </c>
      <c r="U523" t="str">
        <f>HYPERLINK("https://images.diginfra.net/iiif/NL-HaNA_1.01.02/3800/NL-HaNA_1.01.02_3800_0118.jpg/2563,1608,898,1786/full/0/default.jpg", "iiif_url")</f>
        <v>iiif_url</v>
      </c>
      <c r="V523" t="s">
        <v>33</v>
      </c>
      <c r="W523" t="s">
        <v>2238</v>
      </c>
      <c r="X523" t="str">
        <f>HYPERLINK("https://images.diginfra.net/framed3.html?imagesetuuid=a9adb8ed-3212-4745-a472-51257845b9e2&amp;uri=https://images.diginfra.net/iiif/NL-HaNA_1.01.02/3800/NL-HaNA_1.01.02_3800_0117.jpg", "prev_meeting_viewer_url")</f>
        <v>prev_meeting_viewer_url</v>
      </c>
      <c r="Y523" t="str">
        <f>HYPERLINK("https://images.diginfra.net/iiif/NL-HaNA_1.01.02/3800/NL-HaNA_1.01.02_3800_0117.jpg/3427,2998,880,416/full/0/default.jpg", "prev_meeting_iiif_url")</f>
        <v>prev_meeting_iiif_url</v>
      </c>
      <c r="Z523" t="s">
        <v>33</v>
      </c>
      <c r="AA523" t="s">
        <v>2239</v>
      </c>
      <c r="AB523" t="str">
        <f>HYPERLINK("https://images.diginfra.net/framed3.html?imagesetuuid=a9adb8ed-3212-4745-a472-51257845b9e2&amp;uri=https://images.diginfra.net/iiif/NL-HaNA_1.01.02/3800/NL-HaNA_1.01.02_3800_0121.jpg", "next_meeting_viewer_url")</f>
        <v>next_meeting_viewer_url</v>
      </c>
      <c r="AC523" t="str">
        <f>HYPERLINK("https://images.diginfra.net/iiif/NL-HaNA_1.01.02/3800/NL-HaNA_1.01.02_3800_0121.jpg/2626,2960,796,392/full/0/default.jpg", "next_meeting_iiif_url")</f>
        <v>next_meeting_iiif_url</v>
      </c>
    </row>
    <row r="524" spans="1:29" x14ac:dyDescent="0.2">
      <c r="A524" t="s">
        <v>2240</v>
      </c>
      <c r="B524" t="s">
        <v>37</v>
      </c>
      <c r="C524" t="s">
        <v>2241</v>
      </c>
      <c r="D524" t="b">
        <v>1</v>
      </c>
      <c r="E524" t="b">
        <v>1</v>
      </c>
      <c r="I524" t="s">
        <v>2242</v>
      </c>
      <c r="J524">
        <v>3847</v>
      </c>
      <c r="K524">
        <v>162</v>
      </c>
      <c r="L524">
        <v>2498</v>
      </c>
      <c r="M524">
        <v>605</v>
      </c>
      <c r="N524">
        <f t="shared" si="10"/>
        <v>324</v>
      </c>
      <c r="O524">
        <v>323</v>
      </c>
      <c r="P524">
        <v>0</v>
      </c>
      <c r="Q524">
        <v>1</v>
      </c>
      <c r="R524">
        <v>0</v>
      </c>
      <c r="S524" t="s">
        <v>33</v>
      </c>
      <c r="T524" t="str">
        <f>HYPERLINK("https://images.diginfra.net/framed3.html?imagesetuuid=1a032cf9-834a-4330-9619-23e00357d062&amp;uri=https://images.diginfra.net/iiif/NL-HaNA_1.01.02/3847/NL-HaNA_1.01.02_3847_0162.jpg", "viewer_url")</f>
        <v>viewer_url</v>
      </c>
      <c r="U524" t="str">
        <f>HYPERLINK("https://images.diginfra.net/iiif/NL-HaNA_1.01.02/3847/NL-HaNA_1.01.02_3847_0162.jpg/2498,605,886,2686/full/0/default.jpg", "iiif_url")</f>
        <v>iiif_url</v>
      </c>
      <c r="V524" t="s">
        <v>33</v>
      </c>
      <c r="W524" t="s">
        <v>2243</v>
      </c>
      <c r="X524" t="str">
        <f>HYPERLINK("https://images.diginfra.net/framed3.html?imagesetuuid=1a032cf9-834a-4330-9619-23e00357d062&amp;uri=https://images.diginfra.net/iiif/NL-HaNA_1.01.02/3847/NL-HaNA_1.01.02_3847_0162.jpg", "prev_meeting_viewer_url")</f>
        <v>prev_meeting_viewer_url</v>
      </c>
      <c r="Y524" t="str">
        <f>HYPERLINK("https://images.diginfra.net/iiif/NL-HaNA_1.01.02/3847/NL-HaNA_1.01.02_3847_0162.jpg/277,295,1087,3094/full/0/default.jpg", "prev_meeting_iiif_url")</f>
        <v>prev_meeting_iiif_url</v>
      </c>
      <c r="Z524" t="s">
        <v>33</v>
      </c>
      <c r="AA524" t="s">
        <v>2244</v>
      </c>
      <c r="AB524" t="str">
        <f>HYPERLINK("https://images.diginfra.net/framed3.html?imagesetuuid=1a032cf9-834a-4330-9619-23e00357d062&amp;uri=https://images.diginfra.net/iiif/NL-HaNA_1.01.02/3847/NL-HaNA_1.01.02_3847_0167.jpg", "next_meeting_viewer_url")</f>
        <v>next_meeting_viewer_url</v>
      </c>
      <c r="AC524" t="str">
        <f>HYPERLINK("https://images.diginfra.net/iiif/NL-HaNA_1.01.02/3847/NL-HaNA_1.01.02_3847_0167.jpg/3371,295,1090,3089/full/0/default.jpg", "next_meeting_iiif_url")</f>
        <v>next_meeting_iiif_url</v>
      </c>
    </row>
    <row r="525" spans="1:29" x14ac:dyDescent="0.2">
      <c r="A525" t="s">
        <v>2245</v>
      </c>
      <c r="B525" t="s">
        <v>48</v>
      </c>
      <c r="C525" t="s">
        <v>2246</v>
      </c>
      <c r="D525" t="b">
        <v>1</v>
      </c>
      <c r="E525" t="b">
        <v>1</v>
      </c>
      <c r="I525" t="s">
        <v>2247</v>
      </c>
      <c r="J525">
        <v>3787</v>
      </c>
      <c r="K525">
        <v>405</v>
      </c>
      <c r="L525">
        <v>1281</v>
      </c>
      <c r="M525">
        <v>2505</v>
      </c>
      <c r="N525">
        <f t="shared" si="10"/>
        <v>810</v>
      </c>
      <c r="O525">
        <v>808</v>
      </c>
      <c r="P525">
        <v>1</v>
      </c>
      <c r="Q525">
        <v>1</v>
      </c>
      <c r="R525">
        <v>0</v>
      </c>
      <c r="S525" t="s">
        <v>44</v>
      </c>
      <c r="T525" t="str">
        <f>HYPERLINK("https://images.diginfra.net/framed3.html?imagesetuuid=db7b00f7-0cd1-4078-9123-41ccf17bd821&amp;uri=https://images.diginfra.net/iiif/NL-HaNA_1.01.02/3787/NL-HaNA_1.01.02_3787_0405.jpg", "viewer_url")</f>
        <v>viewer_url</v>
      </c>
      <c r="U525" t="str">
        <f>HYPERLINK("https://images.diginfra.net/iiif/NL-HaNA_1.01.02/3787/NL-HaNA_1.01.02_3787_0405.jpg/1281,2505,850,834/full/0/default.jpg", "iiif_url")</f>
        <v>iiif_url</v>
      </c>
      <c r="V525" t="s">
        <v>33</v>
      </c>
      <c r="W525" t="s">
        <v>2248</v>
      </c>
      <c r="X525" t="str">
        <f>HYPERLINK("https://images.diginfra.net/framed3.html?imagesetuuid=db7b00f7-0cd1-4078-9123-41ccf17bd821&amp;uri=https://images.diginfra.net/iiif/NL-HaNA_1.01.02/3787/NL-HaNA_1.01.02_3787_0403.jpg", "prev_meeting_viewer_url")</f>
        <v>prev_meeting_viewer_url</v>
      </c>
      <c r="Y525" t="str">
        <f>HYPERLINK("https://images.diginfra.net/iiif/NL-HaNA_1.01.02/3787/NL-HaNA_1.01.02_3787_0403.jpg/2469,1403,1081,2024/full/0/default.jpg", "prev_meeting_iiif_url")</f>
        <v>prev_meeting_iiif_url</v>
      </c>
    </row>
    <row r="526" spans="1:29" x14ac:dyDescent="0.2">
      <c r="A526" t="s">
        <v>2249</v>
      </c>
      <c r="B526" t="s">
        <v>59</v>
      </c>
      <c r="D526" t="b">
        <v>0</v>
      </c>
      <c r="E526" t="b">
        <v>0</v>
      </c>
      <c r="I526" t="s">
        <v>2250</v>
      </c>
      <c r="J526">
        <v>3859</v>
      </c>
      <c r="K526">
        <v>145</v>
      </c>
      <c r="N526">
        <f t="shared" si="10"/>
        <v>290</v>
      </c>
      <c r="O526">
        <v>289</v>
      </c>
      <c r="P526">
        <v>0</v>
      </c>
      <c r="Q526">
        <v>2</v>
      </c>
      <c r="R526">
        <v>0</v>
      </c>
      <c r="S526" t="s">
        <v>33</v>
      </c>
      <c r="T526" t="str">
        <f>HYPERLINK("https://images.diginfra.net/framed3.html?imagesetuuid=c8e51550-05db-4ad8-9ec0-0ffdaabe4f93&amp;uri=https://images.diginfra.net/iiif/NL-HaNA_1.01.02/3859/NL-HaNA_1.01.02_3859_0145.jpg", "viewer_url")</f>
        <v>viewer_url</v>
      </c>
      <c r="U526" t="str">
        <f>HYPERLINK("https://images.diginfra.net/iiif/NL-HaNA_1.01.02/3859/NL-HaNA_1.01.02_3859_0145.jpg/3180,894,1067,2527/full/0/default.jpg", "iiif_url")</f>
        <v>iiif_url</v>
      </c>
      <c r="V526" t="s">
        <v>33</v>
      </c>
      <c r="W526" t="s">
        <v>2251</v>
      </c>
      <c r="X526" t="str">
        <f>HYPERLINK("https://images.diginfra.net/framed3.html?imagesetuuid=c8e51550-05db-4ad8-9ec0-0ffdaabe4f93&amp;uri=https://images.diginfra.net/iiif/NL-HaNA_1.01.02/3859/NL-HaNA_1.01.02_3859_0142.jpg", "prev_meeting_viewer_url")</f>
        <v>prev_meeting_viewer_url</v>
      </c>
      <c r="Y526" t="str">
        <f>HYPERLINK("https://images.diginfra.net/iiif/NL-HaNA_1.01.02/3859/NL-HaNA_1.01.02_3859_0142.jpg/3210,283,1070,3015/full/0/default.jpg", "prev_meeting_iiif_url")</f>
        <v>prev_meeting_iiif_url</v>
      </c>
      <c r="Z526" t="s">
        <v>33</v>
      </c>
      <c r="AA526" t="s">
        <v>2252</v>
      </c>
      <c r="AB526" t="str">
        <f>HYPERLINK("https://images.diginfra.net/framed3.html?imagesetuuid=c8e51550-05db-4ad8-9ec0-0ffdaabe4f93&amp;uri=https://images.diginfra.net/iiif/NL-HaNA_1.01.02/3859/NL-HaNA_1.01.02_3859_0145.jpg", "next_meeting_viewer_url")</f>
        <v>next_meeting_viewer_url</v>
      </c>
      <c r="AC526" t="str">
        <f>HYPERLINK("https://images.diginfra.net/iiif/NL-HaNA_1.01.02/3859/NL-HaNA_1.01.02_3859_0145.jpg/3180,894,1067,2527/full/0/default.jpg", "next_meeting_iiif_url")</f>
        <v>next_meeting_iiif_url</v>
      </c>
    </row>
    <row r="527" spans="1:29" x14ac:dyDescent="0.2">
      <c r="A527" t="s">
        <v>2253</v>
      </c>
      <c r="B527" t="s">
        <v>63</v>
      </c>
      <c r="D527" t="b">
        <v>0</v>
      </c>
      <c r="E527" t="b">
        <v>0</v>
      </c>
      <c r="I527" t="s">
        <v>2254</v>
      </c>
      <c r="J527">
        <v>3823</v>
      </c>
      <c r="K527">
        <v>212</v>
      </c>
      <c r="N527">
        <f t="shared" si="10"/>
        <v>424</v>
      </c>
      <c r="O527">
        <v>423</v>
      </c>
      <c r="P527">
        <v>1</v>
      </c>
      <c r="Q527">
        <v>1</v>
      </c>
      <c r="R527">
        <v>0</v>
      </c>
      <c r="S527" t="s">
        <v>33</v>
      </c>
      <c r="T527" t="str">
        <f>HYPERLINK("https://images.diginfra.net/framed3.html?imagesetuuid=08f55768-66d4-4560-816c-70f4ea910842&amp;uri=https://images.diginfra.net/iiif/NL-HaNA_1.01.02/3823/NL-HaNA_1.01.02_3823_0212.jpg", "viewer_url")</f>
        <v>viewer_url</v>
      </c>
      <c r="U527" t="str">
        <f>HYPERLINK("https://images.diginfra.net/iiif/NL-HaNA_1.01.02/3823/NL-HaNA_1.01.02_3823_0212.jpg/3273,735,1065,2591/full/0/default.jpg", "iiif_url")</f>
        <v>iiif_url</v>
      </c>
      <c r="V527" t="s">
        <v>33</v>
      </c>
      <c r="X527" t="str">
        <f>HYPERLINK("https://images.diginfra.net/framed3.html?imagesetuuid=08f55768-66d4-4560-816c-70f4ea910842&amp;uri=https://images.diginfra.net/iiif/NL-HaNA_1.01.02/3823/NL-HaNA_1.01.02_3823_0209.jpg", "prev_meeting_viewer_url")</f>
        <v>prev_meeting_viewer_url</v>
      </c>
      <c r="Y527" t="str">
        <f>HYPERLINK("https://images.diginfra.net/iiif/NL-HaNA_1.01.02/3823/NL-HaNA_1.01.02_3823_0209.jpg/3283,1682,1071,1708/full/0/default.jpg", "prev_meeting_iiif_url")</f>
        <v>prev_meeting_iiif_url</v>
      </c>
      <c r="Z527" t="s">
        <v>33</v>
      </c>
      <c r="AA527" t="s">
        <v>2255</v>
      </c>
      <c r="AB527" t="str">
        <f>HYPERLINK("https://images.diginfra.net/framed3.html?imagesetuuid=08f55768-66d4-4560-816c-70f4ea910842&amp;uri=https://images.diginfra.net/iiif/NL-HaNA_1.01.02/3823/NL-HaNA_1.01.02_3823_0212.jpg", "next_meeting_viewer_url")</f>
        <v>next_meeting_viewer_url</v>
      </c>
      <c r="AC527" t="str">
        <f>HYPERLINK("https://images.diginfra.net/iiif/NL-HaNA_1.01.02/3823/NL-HaNA_1.01.02_3823_0212.jpg/3273,735,1065,2591/full/0/default.jpg", "next_meeting_iiif_url")</f>
        <v>next_meeting_iiif_url</v>
      </c>
    </row>
    <row r="528" spans="1:29" x14ac:dyDescent="0.2">
      <c r="A528" t="s">
        <v>2256</v>
      </c>
      <c r="B528" t="s">
        <v>30</v>
      </c>
      <c r="C528" t="s">
        <v>2257</v>
      </c>
      <c r="D528" t="b">
        <v>1</v>
      </c>
      <c r="E528" t="b">
        <v>1</v>
      </c>
      <c r="I528" t="s">
        <v>2258</v>
      </c>
      <c r="J528">
        <v>3762</v>
      </c>
      <c r="K528">
        <v>484</v>
      </c>
      <c r="L528">
        <v>3421</v>
      </c>
      <c r="M528">
        <v>521</v>
      </c>
      <c r="N528">
        <f t="shared" si="10"/>
        <v>968</v>
      </c>
      <c r="O528">
        <v>967</v>
      </c>
      <c r="P528">
        <v>1</v>
      </c>
      <c r="Q528">
        <v>2</v>
      </c>
      <c r="R528">
        <v>0</v>
      </c>
      <c r="S528" t="s">
        <v>33</v>
      </c>
      <c r="T528" t="str">
        <f>HYPERLINK("https://images.diginfra.net/framed3.html?imagesetuuid=df3dafee-b161-42ae-8ffe-6d7f9dbb63ed&amp;uri=https://images.diginfra.net/iiif/NL-HaNA_1.01.02/3762/NL-HaNA_1.01.02_3762_0484.jpg", "viewer_url")</f>
        <v>viewer_url</v>
      </c>
      <c r="U528" t="str">
        <f>HYPERLINK("https://images.diginfra.net/iiif/NL-HaNA_1.01.02/3762/NL-HaNA_1.01.02_3762_0484.jpg/3421,521,935,2739/full/0/default.jpg", "iiif_url")</f>
        <v>iiif_url</v>
      </c>
      <c r="V528" t="s">
        <v>33</v>
      </c>
      <c r="W528" t="s">
        <v>2259</v>
      </c>
      <c r="X528" t="str">
        <f>HYPERLINK("https://images.diginfra.net/framed3.html?imagesetuuid=df3dafee-b161-42ae-8ffe-6d7f9dbb63ed&amp;uri=https://images.diginfra.net/iiif/NL-HaNA_1.01.02/3762/NL-HaNA_1.01.02_3762_0482.jpg", "prev_meeting_viewer_url")</f>
        <v>prev_meeting_viewer_url</v>
      </c>
      <c r="Y528" t="str">
        <f>HYPERLINK("https://images.diginfra.net/iiif/NL-HaNA_1.01.02/3762/NL-HaNA_1.01.02_3762_0482.jpg/1271,401,1088,2963/full/0/default.jpg", "prev_meeting_iiif_url")</f>
        <v>prev_meeting_iiif_url</v>
      </c>
      <c r="Z528" t="s">
        <v>33</v>
      </c>
      <c r="AA528" t="s">
        <v>2260</v>
      </c>
      <c r="AB528" t="str">
        <f>HYPERLINK("https://images.diginfra.net/framed3.html?imagesetuuid=df3dafee-b161-42ae-8ffe-6d7f9dbb63ed&amp;uri=https://images.diginfra.net/iiif/NL-HaNA_1.01.02/3762/NL-HaNA_1.01.02_3762_0486.jpg", "next_meeting_viewer_url")</f>
        <v>next_meeting_viewer_url</v>
      </c>
      <c r="AC528" t="str">
        <f>HYPERLINK("https://images.diginfra.net/iiif/NL-HaNA_1.01.02/3762/NL-HaNA_1.01.02_3762_0486.jpg/2376,1448,1079,1955/full/0/default.jpg", "next_meeting_iiif_url")</f>
        <v>next_meeting_iiif_url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2021-07-05T14:52:29Z</dcterms:created>
  <dcterms:modified xsi:type="dcterms:W3CDTF">2021-07-05T15:46:40Z</dcterms:modified>
</cp:coreProperties>
</file>