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\\192.168.100.185\HomeFolderUsers\muhammad.huzaifa\Downloads\"/>
    </mc:Choice>
  </mc:AlternateContent>
  <xr:revisionPtr revIDLastSave="0" documentId="13_ncr:1_{5F96FC97-6EB2-49C2-9CBE-3775222AA309}" xr6:coauthVersionLast="36" xr6:coauthVersionMax="36" xr10:uidLastSave="{00000000-0000-0000-0000-000000000000}"/>
  <bookViews>
    <workbookView xWindow="0" yWindow="0" windowWidth="17256" windowHeight="6048" firstSheet="7" activeTab="10" xr2:uid="{00000000-000D-0000-FFFF-FFFF00000000}"/>
  </bookViews>
  <sheets>
    <sheet name="ITCNASIA" sheetId="24" r:id="rId1"/>
    <sheet name="Florida Hammad" sheetId="27" r:id="rId2"/>
    <sheet name="Sheet1" sheetId="28" r:id="rId3"/>
    <sheet name="Florida" sheetId="26" r:id="rId4"/>
    <sheet name="Shoohira farewell" sheetId="25" r:id="rId5"/>
    <sheet name="lanzhou" sheetId="23" r:id="rId6"/>
    <sheet name="Mez 1feb" sheetId="22" r:id="rId7"/>
    <sheet name="Roasters" sheetId="21" r:id="rId8"/>
    <sheet name="Mehak Farewell" sheetId="15" r:id="rId9"/>
    <sheet name="Hamza Farewell" sheetId="13" r:id="rId10"/>
    <sheet name="Nasr" sheetId="30" r:id="rId11"/>
    <sheet name="waseem" sheetId="1" r:id="rId12"/>
    <sheet name="Wild Wings" sheetId="11" r:id="rId13"/>
    <sheet name="Ajwad BDay" sheetId="16" r:id="rId14"/>
    <sheet name="Sonias Farewell" sheetId="17" r:id="rId15"/>
    <sheet name="Ayesha Return" sheetId="19" r:id="rId16"/>
    <sheet name="Chapli Kebab" sheetId="20" r:id="rId17"/>
    <sheet name="Sheet2" sheetId="2" r:id="rId18"/>
    <sheet name="Sitara Farewell" sheetId="12" r:id="rId19"/>
    <sheet name="Nandos" sheetId="7" r:id="rId20"/>
    <sheet name="wrap lab" sheetId="14" r:id="rId21"/>
    <sheet name="Crema" sheetId="8" r:id="rId22"/>
    <sheet name="Gloria Iftaar" sheetId="9" r:id="rId23"/>
    <sheet name="Sheet3" sheetId="3" r:id="rId24"/>
    <sheet name="Sheet4" sheetId="4" r:id="rId25"/>
    <sheet name="Murree iftaar" sheetId="10" r:id="rId26"/>
    <sheet name="lunch sara" sheetId="5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30" l="1"/>
  <c r="L36" i="30"/>
  <c r="D35" i="30"/>
  <c r="E35" i="30"/>
  <c r="F35" i="30"/>
  <c r="G35" i="30"/>
  <c r="H35" i="30"/>
  <c r="I35" i="30"/>
  <c r="J35" i="30"/>
  <c r="K35" i="30"/>
  <c r="C35" i="30"/>
  <c r="L34" i="30"/>
  <c r="L33" i="30"/>
  <c r="G34" i="30"/>
  <c r="J33" i="30"/>
  <c r="F22" i="30"/>
  <c r="H23" i="30"/>
  <c r="G24" i="30"/>
  <c r="J25" i="30"/>
  <c r="J26" i="30"/>
  <c r="K27" i="30"/>
  <c r="I28" i="30"/>
  <c r="K29" i="30"/>
  <c r="F30" i="30"/>
  <c r="G31" i="30"/>
  <c r="J32" i="30"/>
  <c r="E32" i="30"/>
  <c r="C23" i="30"/>
  <c r="C24" i="30"/>
  <c r="C29" i="30"/>
  <c r="C31" i="30"/>
  <c r="D22" i="30"/>
  <c r="C34" i="30"/>
  <c r="E4" i="30"/>
  <c r="L4" i="30" s="1"/>
  <c r="E5" i="30"/>
  <c r="L5" i="30" s="1"/>
  <c r="E6" i="30"/>
  <c r="L6" i="30" s="1"/>
  <c r="E7" i="30"/>
  <c r="L7" i="30" s="1"/>
  <c r="E8" i="30"/>
  <c r="L8" i="30" s="1"/>
  <c r="E9" i="30"/>
  <c r="L9" i="30" s="1"/>
  <c r="E10" i="30"/>
  <c r="L10" i="30" s="1"/>
  <c r="E11" i="30"/>
  <c r="L11" i="30" s="1"/>
  <c r="E12" i="30"/>
  <c r="L12" i="30" s="1"/>
  <c r="E13" i="30"/>
  <c r="L13" i="30" s="1"/>
  <c r="E14" i="30"/>
  <c r="L14" i="30" s="1"/>
  <c r="E15" i="30"/>
  <c r="L15" i="30" s="1"/>
  <c r="E3" i="30"/>
  <c r="L3" i="30" s="1"/>
  <c r="K16" i="30"/>
  <c r="J16" i="30"/>
  <c r="I16" i="30"/>
  <c r="H16" i="30"/>
  <c r="G16" i="30"/>
  <c r="F16" i="30"/>
  <c r="D16" i="30"/>
  <c r="C16" i="30"/>
  <c r="L29" i="30" l="1"/>
  <c r="E31" i="30"/>
  <c r="L31" i="30" s="1"/>
  <c r="E30" i="30"/>
  <c r="E29" i="30"/>
  <c r="L32" i="30"/>
  <c r="E24" i="30"/>
  <c r="L24" i="30" s="1"/>
  <c r="E23" i="30"/>
  <c r="L23" i="30" s="1"/>
  <c r="L30" i="30"/>
  <c r="E33" i="30"/>
  <c r="E34" i="30"/>
  <c r="L22" i="30"/>
  <c r="E28" i="30"/>
  <c r="L28" i="30" s="1"/>
  <c r="E27" i="30"/>
  <c r="L27" i="30" s="1"/>
  <c r="E26" i="30"/>
  <c r="L26" i="30" s="1"/>
  <c r="E25" i="30"/>
  <c r="L25" i="30" s="1"/>
  <c r="E22" i="30"/>
  <c r="E16" i="30"/>
  <c r="L16" i="30" s="1"/>
  <c r="I17" i="27"/>
  <c r="J17" i="27" s="1"/>
  <c r="C11" i="27"/>
  <c r="I14" i="27" s="1"/>
  <c r="J14" i="27" s="1"/>
  <c r="H15" i="27"/>
  <c r="H16" i="27"/>
  <c r="H17" i="27"/>
  <c r="H14" i="27"/>
  <c r="H18" i="27"/>
  <c r="F17" i="27"/>
  <c r="E17" i="27"/>
  <c r="F16" i="27"/>
  <c r="D16" i="27"/>
  <c r="D15" i="27"/>
  <c r="G14" i="27"/>
  <c r="E14" i="27"/>
  <c r="C17" i="27"/>
  <c r="F7" i="27"/>
  <c r="G7" i="27"/>
  <c r="H5" i="27"/>
  <c r="C14" i="27"/>
  <c r="E7" i="27"/>
  <c r="D7" i="27"/>
  <c r="C7" i="27"/>
  <c r="H6" i="27"/>
  <c r="H4" i="27"/>
  <c r="H3" i="27"/>
  <c r="M34" i="30" l="1"/>
  <c r="N34" i="30" s="1"/>
  <c r="M33" i="30"/>
  <c r="N33" i="30" s="1"/>
  <c r="M32" i="30"/>
  <c r="N32" i="30" s="1"/>
  <c r="L35" i="30"/>
  <c r="M23" i="30"/>
  <c r="N23" i="30" s="1"/>
  <c r="M31" i="30"/>
  <c r="N31" i="30" s="1"/>
  <c r="M25" i="30"/>
  <c r="N25" i="30" s="1"/>
  <c r="M26" i="30"/>
  <c r="N26" i="30" s="1"/>
  <c r="M27" i="30"/>
  <c r="N27" i="30" s="1"/>
  <c r="M29" i="30"/>
  <c r="N29" i="30" s="1"/>
  <c r="M30" i="30"/>
  <c r="N30" i="30" s="1"/>
  <c r="M24" i="30"/>
  <c r="N24" i="30" s="1"/>
  <c r="M22" i="30"/>
  <c r="N22" i="30" s="1"/>
  <c r="I16" i="27"/>
  <c r="J16" i="27" s="1"/>
  <c r="I15" i="27"/>
  <c r="J15" i="27" s="1"/>
  <c r="J18" i="27" s="1"/>
  <c r="I18" i="27"/>
  <c r="H7" i="27"/>
  <c r="C18" i="27"/>
  <c r="D18" i="27"/>
  <c r="G18" i="27"/>
  <c r="E18" i="27"/>
  <c r="J14" i="26"/>
  <c r="J15" i="26"/>
  <c r="J16" i="26"/>
  <c r="J17" i="26"/>
  <c r="G15" i="26"/>
  <c r="G16" i="26"/>
  <c r="G14" i="26"/>
  <c r="G17" i="26" s="1"/>
  <c r="C10" i="26"/>
  <c r="H14" i="26" s="1"/>
  <c r="E15" i="26"/>
  <c r="F15" i="26" s="1"/>
  <c r="D16" i="26"/>
  <c r="F16" i="26" s="1"/>
  <c r="C14" i="26"/>
  <c r="F14" i="26" s="1"/>
  <c r="F8" i="26"/>
  <c r="F3" i="26"/>
  <c r="F4" i="26"/>
  <c r="F5" i="26"/>
  <c r="E6" i="26"/>
  <c r="D6" i="26"/>
  <c r="C6" i="26"/>
  <c r="F18" i="27" l="1"/>
  <c r="H17" i="26"/>
  <c r="I14" i="26"/>
  <c r="L14" i="26" s="1"/>
  <c r="H16" i="26"/>
  <c r="I16" i="26" s="1"/>
  <c r="L16" i="26" s="1"/>
  <c r="H15" i="26"/>
  <c r="I15" i="26" s="1"/>
  <c r="L15" i="26" s="1"/>
  <c r="E17" i="26"/>
  <c r="F6" i="26"/>
  <c r="C17" i="26"/>
  <c r="D17" i="26"/>
  <c r="U29" i="25"/>
  <c r="U30" i="25"/>
  <c r="U28" i="25"/>
  <c r="U25" i="25"/>
  <c r="U26" i="25"/>
  <c r="U24" i="25"/>
  <c r="D24" i="25"/>
  <c r="O24" i="25"/>
  <c r="H25" i="25"/>
  <c r="I25" i="25"/>
  <c r="F26" i="25"/>
  <c r="H26" i="25"/>
  <c r="L26" i="25"/>
  <c r="D27" i="25"/>
  <c r="H27" i="25"/>
  <c r="M27" i="25"/>
  <c r="D28" i="25"/>
  <c r="H28" i="25"/>
  <c r="J28" i="25"/>
  <c r="E29" i="25"/>
  <c r="H29" i="25"/>
  <c r="J29" i="25"/>
  <c r="N29" i="25"/>
  <c r="D30" i="25"/>
  <c r="H30" i="25"/>
  <c r="J30" i="25"/>
  <c r="G31" i="25"/>
  <c r="H31" i="25"/>
  <c r="J31" i="25"/>
  <c r="K31" i="25"/>
  <c r="G32" i="25"/>
  <c r="H32" i="25"/>
  <c r="J32" i="25"/>
  <c r="K32" i="25"/>
  <c r="C25" i="25"/>
  <c r="C26" i="25"/>
  <c r="C28" i="25"/>
  <c r="C29" i="25"/>
  <c r="C30" i="25"/>
  <c r="C31" i="25"/>
  <c r="C32" i="25"/>
  <c r="C24" i="25"/>
  <c r="U35" i="25"/>
  <c r="P18" i="25"/>
  <c r="O18" i="25"/>
  <c r="N18" i="25"/>
  <c r="M18" i="25"/>
  <c r="L18" i="25"/>
  <c r="K18" i="25"/>
  <c r="J18" i="25"/>
  <c r="I18" i="25"/>
  <c r="F18" i="25"/>
  <c r="E18" i="25"/>
  <c r="D18" i="25"/>
  <c r="C18" i="25"/>
  <c r="Q17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Q13" i="25"/>
  <c r="Q12" i="25"/>
  <c r="Q11" i="25"/>
  <c r="Q10" i="25"/>
  <c r="Q9" i="25"/>
  <c r="Q8" i="25"/>
  <c r="Q7" i="25"/>
  <c r="Q6" i="25"/>
  <c r="Q5" i="25"/>
  <c r="Q4" i="25"/>
  <c r="Q3" i="25"/>
  <c r="F17" i="26" l="1"/>
  <c r="Q14" i="25"/>
  <c r="Q18" i="25"/>
  <c r="L19" i="24"/>
  <c r="L20" i="24"/>
  <c r="L21" i="24"/>
  <c r="L22" i="24"/>
  <c r="L23" i="24"/>
  <c r="L24" i="24"/>
  <c r="K25" i="24"/>
  <c r="J25" i="24"/>
  <c r="I25" i="24"/>
  <c r="H25" i="24"/>
  <c r="G25" i="24"/>
  <c r="F25" i="24"/>
  <c r="E25" i="24"/>
  <c r="D25" i="24"/>
  <c r="C25" i="24"/>
  <c r="E15" i="24"/>
  <c r="C14" i="24"/>
  <c r="K13" i="24"/>
  <c r="K15" i="24" s="1"/>
  <c r="J13" i="24"/>
  <c r="J15" i="24" s="1"/>
  <c r="I13" i="24"/>
  <c r="I15" i="24" s="1"/>
  <c r="H13" i="24"/>
  <c r="H15" i="24" s="1"/>
  <c r="G13" i="24"/>
  <c r="G15" i="24" s="1"/>
  <c r="F13" i="24"/>
  <c r="F15" i="24" s="1"/>
  <c r="E13" i="24"/>
  <c r="D13" i="24"/>
  <c r="D15" i="24" s="1"/>
  <c r="C13" i="24"/>
  <c r="C15" i="24" s="1"/>
  <c r="L12" i="24"/>
  <c r="K9" i="24"/>
  <c r="J9" i="24"/>
  <c r="I9" i="24"/>
  <c r="H9" i="24"/>
  <c r="G9" i="24"/>
  <c r="F9" i="24"/>
  <c r="E9" i="24"/>
  <c r="D9" i="24"/>
  <c r="C9" i="24"/>
  <c r="L8" i="24"/>
  <c r="L7" i="24"/>
  <c r="L6" i="24"/>
  <c r="L5" i="24"/>
  <c r="L4" i="24"/>
  <c r="L3" i="24"/>
  <c r="L13" i="24" l="1"/>
  <c r="L9" i="24"/>
  <c r="I17" i="26"/>
  <c r="L17" i="26" s="1"/>
  <c r="P35" i="25"/>
  <c r="Q27" i="25"/>
  <c r="Q30" i="25"/>
  <c r="Q32" i="25"/>
  <c r="Q31" i="25"/>
  <c r="F35" i="25"/>
  <c r="O35" i="25"/>
  <c r="L35" i="25"/>
  <c r="M35" i="25"/>
  <c r="Q28" i="25"/>
  <c r="Q26" i="25"/>
  <c r="J35" i="25"/>
  <c r="Q29" i="25"/>
  <c r="E35" i="25"/>
  <c r="K35" i="25"/>
  <c r="I35" i="25"/>
  <c r="Q25" i="25"/>
  <c r="C35" i="25"/>
  <c r="Q24" i="25"/>
  <c r="N35" i="25"/>
  <c r="D35" i="25"/>
  <c r="L25" i="24"/>
  <c r="L20" i="23"/>
  <c r="L21" i="23"/>
  <c r="L22" i="23"/>
  <c r="L23" i="23"/>
  <c r="L24" i="23"/>
  <c r="L19" i="23"/>
  <c r="K25" i="23"/>
  <c r="J25" i="23"/>
  <c r="I25" i="23"/>
  <c r="H25" i="23"/>
  <c r="G25" i="23"/>
  <c r="F25" i="23"/>
  <c r="E25" i="23"/>
  <c r="D25" i="23"/>
  <c r="L25" i="23" s="1"/>
  <c r="C25" i="23"/>
  <c r="D15" i="23"/>
  <c r="C15" i="23"/>
  <c r="C14" i="23"/>
  <c r="K13" i="23"/>
  <c r="K15" i="23" s="1"/>
  <c r="J13" i="23"/>
  <c r="J15" i="23" s="1"/>
  <c r="I13" i="23"/>
  <c r="I15" i="23" s="1"/>
  <c r="H13" i="23"/>
  <c r="H15" i="23" s="1"/>
  <c r="G13" i="23"/>
  <c r="G15" i="23" s="1"/>
  <c r="F13" i="23"/>
  <c r="F15" i="23" s="1"/>
  <c r="E13" i="23"/>
  <c r="E15" i="23" s="1"/>
  <c r="D13" i="23"/>
  <c r="C13" i="23"/>
  <c r="L12" i="23"/>
  <c r="K9" i="23"/>
  <c r="J9" i="23"/>
  <c r="I9" i="23"/>
  <c r="H9" i="23"/>
  <c r="G9" i="23"/>
  <c r="F9" i="23"/>
  <c r="E9" i="23"/>
  <c r="D9" i="23"/>
  <c r="L9" i="23" s="1"/>
  <c r="C9" i="23"/>
  <c r="L8" i="23"/>
  <c r="L7" i="23"/>
  <c r="L6" i="23"/>
  <c r="L5" i="23"/>
  <c r="L4" i="23"/>
  <c r="L3" i="23"/>
  <c r="S30" i="25" l="1"/>
  <c r="S24" i="25"/>
  <c r="S32" i="25"/>
  <c r="S31" i="25"/>
  <c r="T31" i="25" s="1"/>
  <c r="S29" i="25"/>
  <c r="T30" i="25"/>
  <c r="S28" i="25"/>
  <c r="T28" i="25" s="1"/>
  <c r="S25" i="25"/>
  <c r="T25" i="25" s="1"/>
  <c r="T29" i="25"/>
  <c r="S26" i="25"/>
  <c r="T26" i="25" s="1"/>
  <c r="T24" i="25"/>
  <c r="Q35" i="25"/>
  <c r="T32" i="25"/>
  <c r="L13" i="23"/>
  <c r="M19" i="22"/>
  <c r="L20" i="22"/>
  <c r="M20" i="22" s="1"/>
  <c r="L21" i="22"/>
  <c r="M21" i="22" s="1"/>
  <c r="L22" i="22"/>
  <c r="M22" i="22" s="1"/>
  <c r="L23" i="22"/>
  <c r="M23" i="22" s="1"/>
  <c r="L24" i="22"/>
  <c r="M24" i="22" s="1"/>
  <c r="L19" i="22"/>
  <c r="C14" i="22"/>
  <c r="K13" i="22"/>
  <c r="K15" i="22" s="1"/>
  <c r="K25" i="22" s="1"/>
  <c r="J13" i="22"/>
  <c r="J15" i="22" s="1"/>
  <c r="I13" i="22"/>
  <c r="I15" i="22" s="1"/>
  <c r="I25" i="22" s="1"/>
  <c r="H13" i="22"/>
  <c r="H15" i="22" s="1"/>
  <c r="G13" i="22"/>
  <c r="G15" i="22" s="1"/>
  <c r="F13" i="22"/>
  <c r="F15" i="22" s="1"/>
  <c r="F25" i="22" s="1"/>
  <c r="E13" i="22"/>
  <c r="E15" i="22" s="1"/>
  <c r="D13" i="22"/>
  <c r="D15" i="22" s="1"/>
  <c r="C13" i="22"/>
  <c r="C15" i="22" s="1"/>
  <c r="L12" i="22"/>
  <c r="K9" i="22"/>
  <c r="J9" i="22"/>
  <c r="I9" i="22"/>
  <c r="H9" i="22"/>
  <c r="G9" i="22"/>
  <c r="F9" i="22"/>
  <c r="E9" i="22"/>
  <c r="D9" i="22"/>
  <c r="C9" i="22"/>
  <c r="L8" i="22"/>
  <c r="L7" i="22"/>
  <c r="L6" i="22"/>
  <c r="L5" i="22"/>
  <c r="L4" i="22"/>
  <c r="L3" i="22"/>
  <c r="O22" i="22" l="1"/>
  <c r="O19" i="22"/>
  <c r="T35" i="25"/>
  <c r="O21" i="22"/>
  <c r="N21" i="22" s="1"/>
  <c r="O24" i="22"/>
  <c r="O20" i="22"/>
  <c r="O23" i="22"/>
  <c r="L9" i="22"/>
  <c r="D25" i="22"/>
  <c r="E25" i="22"/>
  <c r="J25" i="22"/>
  <c r="H25" i="22"/>
  <c r="N20" i="22"/>
  <c r="C25" i="22"/>
  <c r="G25" i="22"/>
  <c r="L25" i="22" s="1"/>
  <c r="L13" i="22"/>
  <c r="M19" i="21"/>
  <c r="M20" i="21"/>
  <c r="M21" i="21"/>
  <c r="M22" i="21"/>
  <c r="M23" i="21"/>
  <c r="M24" i="21"/>
  <c r="N19" i="21"/>
  <c r="N20" i="21"/>
  <c r="N21" i="21"/>
  <c r="N22" i="21"/>
  <c r="N23" i="21"/>
  <c r="N24" i="21"/>
  <c r="C14" i="21"/>
  <c r="O23" i="21" s="1"/>
  <c r="L3" i="21"/>
  <c r="L4" i="21"/>
  <c r="L5" i="21"/>
  <c r="L6" i="21"/>
  <c r="L7" i="21"/>
  <c r="L8" i="21"/>
  <c r="K13" i="21"/>
  <c r="K15" i="21" s="1"/>
  <c r="J13" i="21"/>
  <c r="J15" i="21" s="1"/>
  <c r="I13" i="21"/>
  <c r="I15" i="21" s="1"/>
  <c r="H13" i="21"/>
  <c r="H15" i="21" s="1"/>
  <c r="G13" i="21"/>
  <c r="G15" i="21" s="1"/>
  <c r="F13" i="21"/>
  <c r="F15" i="21" s="1"/>
  <c r="E13" i="21"/>
  <c r="E15" i="21" s="1"/>
  <c r="D13" i="21"/>
  <c r="D15" i="21" s="1"/>
  <c r="C13" i="21"/>
  <c r="C15" i="21" s="1"/>
  <c r="L12" i="21"/>
  <c r="K9" i="21"/>
  <c r="J9" i="21"/>
  <c r="I9" i="21"/>
  <c r="H9" i="21"/>
  <c r="G9" i="21"/>
  <c r="F9" i="21"/>
  <c r="E9" i="21"/>
  <c r="D9" i="21"/>
  <c r="O19" i="21" l="1"/>
  <c r="O21" i="21"/>
  <c r="O24" i="21"/>
  <c r="O20" i="21"/>
  <c r="O25" i="22"/>
  <c r="O22" i="21"/>
  <c r="F19" i="21"/>
  <c r="G24" i="21"/>
  <c r="L13" i="21"/>
  <c r="D21" i="21"/>
  <c r="K21" i="21"/>
  <c r="I23" i="21"/>
  <c r="H20" i="21"/>
  <c r="E23" i="21"/>
  <c r="J22" i="21"/>
  <c r="D3" i="20"/>
  <c r="D7" i="20" s="1"/>
  <c r="D2" i="20"/>
  <c r="D16" i="20" s="1"/>
  <c r="G16" i="20" s="1"/>
  <c r="D8" i="20" l="1"/>
  <c r="D18" i="20"/>
  <c r="G18" i="20" s="1"/>
  <c r="D19" i="20"/>
  <c r="G19" i="20" s="1"/>
  <c r="D22" i="20"/>
  <c r="G22" i="20" s="1"/>
  <c r="D21" i="20"/>
  <c r="G21" i="20" s="1"/>
  <c r="D17" i="20"/>
  <c r="G17" i="20" s="1"/>
  <c r="L23" i="21"/>
  <c r="Q23" i="21" s="1"/>
  <c r="D23" i="20"/>
  <c r="G23" i="20" s="1"/>
  <c r="D15" i="20"/>
  <c r="G15" i="20" s="1"/>
  <c r="D24" i="20"/>
  <c r="G24" i="20" s="1"/>
  <c r="D20" i="20"/>
  <c r="G20" i="20" s="1"/>
  <c r="N23" i="22"/>
  <c r="N19" i="22"/>
  <c r="N25" i="22" s="1"/>
  <c r="L22" i="21"/>
  <c r="Q22" i="21" s="1"/>
  <c r="L24" i="21"/>
  <c r="Q24" i="21" s="1"/>
  <c r="L21" i="21"/>
  <c r="Q21" i="21" s="1"/>
  <c r="L20" i="21"/>
  <c r="Q20" i="21" s="1"/>
  <c r="D25" i="21"/>
  <c r="J25" i="21"/>
  <c r="F25" i="21"/>
  <c r="E25" i="21"/>
  <c r="K25" i="21"/>
  <c r="G25" i="21"/>
  <c r="I25" i="21"/>
  <c r="H25" i="21"/>
  <c r="D10" i="20"/>
  <c r="D9" i="20"/>
  <c r="D11" i="20" s="1"/>
  <c r="K24" i="19"/>
  <c r="K12" i="19"/>
  <c r="G7" i="19"/>
  <c r="G8" i="19"/>
  <c r="G6" i="19"/>
  <c r="G4" i="19"/>
  <c r="E7" i="19"/>
  <c r="E8" i="19"/>
  <c r="E23" i="19" s="1"/>
  <c r="E6" i="19"/>
  <c r="E4" i="19"/>
  <c r="F5" i="19"/>
  <c r="F6" i="19"/>
  <c r="F21" i="19" s="1"/>
  <c r="F7" i="19"/>
  <c r="F8" i="19"/>
  <c r="F4" i="19"/>
  <c r="I8" i="19"/>
  <c r="I23" i="19" s="1"/>
  <c r="I7" i="19"/>
  <c r="C4" i="19"/>
  <c r="K4" i="19" s="1"/>
  <c r="C5" i="19"/>
  <c r="C6" i="19"/>
  <c r="C7" i="19"/>
  <c r="C8" i="19"/>
  <c r="C3" i="19"/>
  <c r="K3" i="19" s="1"/>
  <c r="J13" i="19"/>
  <c r="J14" i="19" s="1"/>
  <c r="J19" i="19" s="1"/>
  <c r="I13" i="19"/>
  <c r="I14" i="19" s="1"/>
  <c r="I18" i="19" s="1"/>
  <c r="H13" i="19"/>
  <c r="H14" i="19" s="1"/>
  <c r="H19" i="19" s="1"/>
  <c r="G13" i="19"/>
  <c r="G14" i="19" s="1"/>
  <c r="G20" i="19" s="1"/>
  <c r="F13" i="19"/>
  <c r="F14" i="19" s="1"/>
  <c r="F18" i="19" s="1"/>
  <c r="E13" i="19"/>
  <c r="E14" i="19" s="1"/>
  <c r="D13" i="19"/>
  <c r="D14" i="19" s="1"/>
  <c r="D19" i="19" s="1"/>
  <c r="C13" i="19"/>
  <c r="C14" i="19" s="1"/>
  <c r="J9" i="19"/>
  <c r="H9" i="19"/>
  <c r="D9" i="19"/>
  <c r="G23" i="19" l="1"/>
  <c r="C23" i="19"/>
  <c r="F23" i="19"/>
  <c r="D25" i="20"/>
  <c r="C21" i="19"/>
  <c r="N24" i="22"/>
  <c r="P23" i="21"/>
  <c r="P21" i="21"/>
  <c r="P20" i="21"/>
  <c r="P24" i="21"/>
  <c r="D23" i="19"/>
  <c r="J21" i="19"/>
  <c r="J20" i="19"/>
  <c r="C19" i="19"/>
  <c r="C20" i="19"/>
  <c r="I22" i="19"/>
  <c r="F9" i="19"/>
  <c r="E21" i="19"/>
  <c r="G21" i="19"/>
  <c r="J23" i="19"/>
  <c r="J22" i="19"/>
  <c r="H21" i="19"/>
  <c r="H20" i="19"/>
  <c r="H23" i="19"/>
  <c r="H22" i="19"/>
  <c r="D20" i="19"/>
  <c r="I9" i="19"/>
  <c r="E19" i="19"/>
  <c r="C9" i="19"/>
  <c r="K6" i="19"/>
  <c r="F19" i="19"/>
  <c r="F20" i="19"/>
  <c r="E22" i="19"/>
  <c r="D22" i="19"/>
  <c r="D21" i="19"/>
  <c r="K14" i="19"/>
  <c r="G18" i="19"/>
  <c r="G19" i="19"/>
  <c r="F22" i="19"/>
  <c r="E9" i="19"/>
  <c r="K9" i="19" s="1"/>
  <c r="K5" i="19"/>
  <c r="K13" i="19"/>
  <c r="J18" i="19"/>
  <c r="I21" i="19"/>
  <c r="I20" i="19"/>
  <c r="E20" i="19"/>
  <c r="I19" i="19"/>
  <c r="K7" i="19"/>
  <c r="C18" i="19"/>
  <c r="E18" i="19"/>
  <c r="K8" i="19"/>
  <c r="H18" i="19"/>
  <c r="D18" i="19"/>
  <c r="G22" i="19"/>
  <c r="C22" i="19"/>
  <c r="G9" i="19"/>
  <c r="E24" i="19" l="1"/>
  <c r="D24" i="19"/>
  <c r="H24" i="19"/>
  <c r="I24" i="19"/>
  <c r="J24" i="19"/>
  <c r="F24" i="19"/>
  <c r="G24" i="19"/>
  <c r="C24" i="19"/>
  <c r="Q16" i="17"/>
  <c r="D40" i="17" l="1"/>
  <c r="E40" i="17"/>
  <c r="F40" i="17"/>
  <c r="J40" i="17"/>
  <c r="D41" i="17"/>
  <c r="E41" i="17"/>
  <c r="F41" i="17"/>
  <c r="H41" i="17"/>
  <c r="C42" i="17"/>
  <c r="D42" i="17"/>
  <c r="E42" i="17"/>
  <c r="F42" i="17"/>
  <c r="G42" i="17"/>
  <c r="K42" i="17"/>
  <c r="D43" i="17"/>
  <c r="E43" i="17"/>
  <c r="F43" i="17"/>
  <c r="J43" i="17"/>
  <c r="D44" i="17"/>
  <c r="E44" i="17"/>
  <c r="F44" i="17"/>
  <c r="J44" i="17"/>
  <c r="D45" i="17"/>
  <c r="E45" i="17"/>
  <c r="F45" i="17"/>
  <c r="H45" i="17"/>
  <c r="C46" i="17"/>
  <c r="D46" i="17"/>
  <c r="E46" i="17"/>
  <c r="F46" i="17"/>
  <c r="G46" i="17"/>
  <c r="J46" i="17"/>
  <c r="K46" i="17"/>
  <c r="D47" i="17"/>
  <c r="E47" i="17"/>
  <c r="F47" i="17"/>
  <c r="J47" i="17"/>
  <c r="D48" i="17"/>
  <c r="E48" i="17"/>
  <c r="F48" i="17"/>
  <c r="J48" i="17"/>
  <c r="D49" i="17"/>
  <c r="E49" i="17"/>
  <c r="F49" i="17"/>
  <c r="H49" i="17"/>
  <c r="J49" i="17"/>
  <c r="C50" i="17"/>
  <c r="D50" i="17"/>
  <c r="E50" i="17"/>
  <c r="F50" i="17"/>
  <c r="G50" i="17"/>
  <c r="J50" i="17"/>
  <c r="K50" i="17"/>
  <c r="D51" i="17"/>
  <c r="E51" i="17"/>
  <c r="F51" i="17"/>
  <c r="J51" i="17"/>
  <c r="C52" i="17"/>
  <c r="D52" i="17"/>
  <c r="E52" i="17"/>
  <c r="F52" i="17"/>
  <c r="G52" i="17"/>
  <c r="H52" i="17"/>
  <c r="I52" i="17"/>
  <c r="J52" i="17"/>
  <c r="K52" i="17"/>
  <c r="B52" i="17"/>
  <c r="B42" i="17"/>
  <c r="B46" i="17"/>
  <c r="B50" i="17"/>
  <c r="B41" i="17"/>
  <c r="D53" i="17"/>
  <c r="M39" i="17"/>
  <c r="G23" i="17"/>
  <c r="G41" i="17" s="1"/>
  <c r="G24" i="17"/>
  <c r="G25" i="17"/>
  <c r="G43" i="17" s="1"/>
  <c r="G26" i="17"/>
  <c r="G44" i="17" s="1"/>
  <c r="G27" i="17"/>
  <c r="G45" i="17" s="1"/>
  <c r="G28" i="17"/>
  <c r="G29" i="17"/>
  <c r="G47" i="17" s="1"/>
  <c r="G30" i="17"/>
  <c r="G48" i="17" s="1"/>
  <c r="G31" i="17"/>
  <c r="G49" i="17" s="1"/>
  <c r="G32" i="17"/>
  <c r="G33" i="17"/>
  <c r="G51" i="17" s="1"/>
  <c r="G22" i="17"/>
  <c r="G40" i="17" s="1"/>
  <c r="I23" i="17"/>
  <c r="I41" i="17" s="1"/>
  <c r="I24" i="17"/>
  <c r="I42" i="17" s="1"/>
  <c r="I25" i="17"/>
  <c r="I43" i="17" s="1"/>
  <c r="I26" i="17"/>
  <c r="I44" i="17" s="1"/>
  <c r="I27" i="17"/>
  <c r="I45" i="17" s="1"/>
  <c r="I28" i="17"/>
  <c r="I46" i="17" s="1"/>
  <c r="I29" i="17"/>
  <c r="I47" i="17" s="1"/>
  <c r="I30" i="17"/>
  <c r="I48" i="17" s="1"/>
  <c r="I31" i="17"/>
  <c r="I49" i="17" s="1"/>
  <c r="I32" i="17"/>
  <c r="I50" i="17" s="1"/>
  <c r="I33" i="17"/>
  <c r="I51" i="17" s="1"/>
  <c r="I22" i="17"/>
  <c r="I40" i="17" s="1"/>
  <c r="C23" i="17"/>
  <c r="C41" i="17" s="1"/>
  <c r="C24" i="17"/>
  <c r="C25" i="17"/>
  <c r="C43" i="17" s="1"/>
  <c r="C26" i="17"/>
  <c r="C44" i="17" s="1"/>
  <c r="C27" i="17"/>
  <c r="C45" i="17" s="1"/>
  <c r="C28" i="17"/>
  <c r="C29" i="17"/>
  <c r="C47" i="17" s="1"/>
  <c r="C30" i="17"/>
  <c r="C48" i="17" s="1"/>
  <c r="C31" i="17"/>
  <c r="C49" i="17" s="1"/>
  <c r="C32" i="17"/>
  <c r="C33" i="17"/>
  <c r="C51" i="17" s="1"/>
  <c r="C22" i="17"/>
  <c r="C40" i="17" s="1"/>
  <c r="B23" i="17"/>
  <c r="B24" i="17"/>
  <c r="B25" i="17"/>
  <c r="B26" i="17"/>
  <c r="B44" i="17" s="1"/>
  <c r="B27" i="17"/>
  <c r="B45" i="17" s="1"/>
  <c r="B28" i="17"/>
  <c r="M28" i="17" s="1"/>
  <c r="B29" i="17"/>
  <c r="B47" i="17" s="1"/>
  <c r="B30" i="17"/>
  <c r="B48" i="17" s="1"/>
  <c r="B31" i="17"/>
  <c r="B49" i="17" s="1"/>
  <c r="B32" i="17"/>
  <c r="M32" i="17" s="1"/>
  <c r="B33" i="17"/>
  <c r="B51" i="17" s="1"/>
  <c r="B22" i="17"/>
  <c r="B40" i="17" s="1"/>
  <c r="M5" i="17"/>
  <c r="O5" i="17" s="1"/>
  <c r="R5" i="17" s="1"/>
  <c r="J27" i="17"/>
  <c r="J45" i="17" s="1"/>
  <c r="J24" i="17"/>
  <c r="J42" i="17" s="1"/>
  <c r="J23" i="17"/>
  <c r="J41" i="17" s="1"/>
  <c r="K23" i="17"/>
  <c r="K41" i="17" s="1"/>
  <c r="K24" i="17"/>
  <c r="K25" i="17"/>
  <c r="K35" i="17" s="1"/>
  <c r="K26" i="17"/>
  <c r="K44" i="17" s="1"/>
  <c r="K27" i="17"/>
  <c r="K45" i="17" s="1"/>
  <c r="K28" i="17"/>
  <c r="K29" i="17"/>
  <c r="K47" i="17" s="1"/>
  <c r="K30" i="17"/>
  <c r="K48" i="17" s="1"/>
  <c r="K31" i="17"/>
  <c r="K49" i="17" s="1"/>
  <c r="K32" i="17"/>
  <c r="K33" i="17"/>
  <c r="K51" i="17" s="1"/>
  <c r="K22" i="17"/>
  <c r="K40" i="17" s="1"/>
  <c r="H23" i="17"/>
  <c r="M23" i="17" s="1"/>
  <c r="H24" i="17"/>
  <c r="H42" i="17" s="1"/>
  <c r="H25" i="17"/>
  <c r="H43" i="17" s="1"/>
  <c r="H26" i="17"/>
  <c r="H44" i="17" s="1"/>
  <c r="H27" i="17"/>
  <c r="M27" i="17" s="1"/>
  <c r="H28" i="17"/>
  <c r="H46" i="17" s="1"/>
  <c r="H29" i="17"/>
  <c r="M29" i="17" s="1"/>
  <c r="H30" i="17"/>
  <c r="H48" i="17" s="1"/>
  <c r="H31" i="17"/>
  <c r="H32" i="17"/>
  <c r="H50" i="17" s="1"/>
  <c r="H33" i="17"/>
  <c r="M33" i="17" s="1"/>
  <c r="H22" i="17"/>
  <c r="H40" i="17" s="1"/>
  <c r="B17" i="17"/>
  <c r="G35" i="17"/>
  <c r="F35" i="17"/>
  <c r="E35" i="17"/>
  <c r="D35" i="17"/>
  <c r="M34" i="17"/>
  <c r="M31" i="17"/>
  <c r="M24" i="17"/>
  <c r="M21" i="17"/>
  <c r="C16" i="17"/>
  <c r="D16" i="17"/>
  <c r="E16" i="17"/>
  <c r="F16" i="17"/>
  <c r="G16" i="17"/>
  <c r="H16" i="17"/>
  <c r="I16" i="17"/>
  <c r="J16" i="17"/>
  <c r="K16" i="17"/>
  <c r="B16" i="17"/>
  <c r="C17" i="17"/>
  <c r="D17" i="17"/>
  <c r="E17" i="17"/>
  <c r="F17" i="17"/>
  <c r="G17" i="17"/>
  <c r="H17" i="17"/>
  <c r="I17" i="17"/>
  <c r="J17" i="17"/>
  <c r="K17" i="17"/>
  <c r="M3" i="17"/>
  <c r="O3" i="17" s="1"/>
  <c r="R3" i="17" s="1"/>
  <c r="M4" i="17"/>
  <c r="O4" i="17" s="1"/>
  <c r="R4" i="17" s="1"/>
  <c r="M6" i="17"/>
  <c r="O6" i="17" s="1"/>
  <c r="R6" i="17" s="1"/>
  <c r="M7" i="17"/>
  <c r="O7" i="17" s="1"/>
  <c r="R7" i="17" s="1"/>
  <c r="M8" i="17"/>
  <c r="O8" i="17" s="1"/>
  <c r="R8" i="17" s="1"/>
  <c r="M9" i="17"/>
  <c r="O9" i="17" s="1"/>
  <c r="R9" i="17" s="1"/>
  <c r="M10" i="17"/>
  <c r="O10" i="17" s="1"/>
  <c r="R10" i="17" s="1"/>
  <c r="M11" i="17"/>
  <c r="O11" i="17" s="1"/>
  <c r="R11" i="17" s="1"/>
  <c r="M12" i="17"/>
  <c r="O12" i="17" s="1"/>
  <c r="R12" i="17" s="1"/>
  <c r="M13" i="17"/>
  <c r="O13" i="17" s="1"/>
  <c r="R13" i="17" s="1"/>
  <c r="M14" i="17"/>
  <c r="O14" i="17" s="1"/>
  <c r="R14" i="17" s="1"/>
  <c r="M2" i="17"/>
  <c r="O2" i="17" s="1"/>
  <c r="R2" i="17" s="1"/>
  <c r="M41" i="17" l="1"/>
  <c r="M48" i="17"/>
  <c r="M44" i="17"/>
  <c r="G53" i="17"/>
  <c r="J35" i="17"/>
  <c r="B35" i="17"/>
  <c r="M52" i="17"/>
  <c r="H51" i="17"/>
  <c r="M51" i="17"/>
  <c r="M50" i="17"/>
  <c r="H47" i="17"/>
  <c r="M47" i="17"/>
  <c r="M46" i="17"/>
  <c r="M42" i="17"/>
  <c r="M22" i="17"/>
  <c r="B43" i="17"/>
  <c r="B53" i="17" s="1"/>
  <c r="K43" i="17"/>
  <c r="K53" i="17" s="1"/>
  <c r="J53" i="17"/>
  <c r="F53" i="17"/>
  <c r="E53" i="17"/>
  <c r="M49" i="17"/>
  <c r="M45" i="17"/>
  <c r="M40" i="17"/>
  <c r="M30" i="17"/>
  <c r="M25" i="17"/>
  <c r="M35" i="17" s="1"/>
  <c r="M26" i="17"/>
  <c r="M16" i="17"/>
  <c r="P23" i="16"/>
  <c r="P24" i="16"/>
  <c r="P25" i="16"/>
  <c r="P26" i="16"/>
  <c r="P27" i="16"/>
  <c r="P22" i="16"/>
  <c r="K22" i="16"/>
  <c r="F23" i="16"/>
  <c r="J23" i="16"/>
  <c r="E24" i="16"/>
  <c r="I24" i="16"/>
  <c r="K26" i="16"/>
  <c r="F27" i="16"/>
  <c r="J27" i="16"/>
  <c r="Q28" i="16"/>
  <c r="C23" i="16"/>
  <c r="C27" i="16"/>
  <c r="O29" i="16"/>
  <c r="N29" i="16"/>
  <c r="M29" i="16"/>
  <c r="P17" i="16"/>
  <c r="P18" i="16" s="1"/>
  <c r="O17" i="16"/>
  <c r="O18" i="16" s="1"/>
  <c r="N17" i="16"/>
  <c r="N18" i="16" s="1"/>
  <c r="M17" i="16"/>
  <c r="M18" i="16" s="1"/>
  <c r="L17" i="16"/>
  <c r="L18" i="16" s="1"/>
  <c r="L22" i="16" s="1"/>
  <c r="K17" i="16"/>
  <c r="K18" i="16" s="1"/>
  <c r="K23" i="16" s="1"/>
  <c r="J17" i="16"/>
  <c r="J18" i="16" s="1"/>
  <c r="J24" i="16" s="1"/>
  <c r="I17" i="16"/>
  <c r="I18" i="16" s="1"/>
  <c r="I25" i="16" s="1"/>
  <c r="H17" i="16"/>
  <c r="H18" i="16" s="1"/>
  <c r="H22" i="16" s="1"/>
  <c r="G17" i="16"/>
  <c r="G18" i="16" s="1"/>
  <c r="F17" i="16"/>
  <c r="F18" i="16" s="1"/>
  <c r="F24" i="16" s="1"/>
  <c r="E17" i="16"/>
  <c r="E18" i="16" s="1"/>
  <c r="E25" i="16" s="1"/>
  <c r="D17" i="16"/>
  <c r="D18" i="16" s="1"/>
  <c r="D22" i="16" s="1"/>
  <c r="C17" i="16"/>
  <c r="C18" i="16" s="1"/>
  <c r="C24" i="16" s="1"/>
  <c r="Q16" i="16"/>
  <c r="Q17" i="16" s="1"/>
  <c r="Q18" i="16" s="1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Q8" i="16"/>
  <c r="Q7" i="16"/>
  <c r="Q6" i="16"/>
  <c r="Q5" i="16"/>
  <c r="Q4" i="16"/>
  <c r="Q3" i="16"/>
  <c r="H29" i="16" l="1"/>
  <c r="G23" i="16"/>
  <c r="G27" i="16"/>
  <c r="G26" i="16"/>
  <c r="G24" i="16"/>
  <c r="Q24" i="16" s="1"/>
  <c r="G25" i="16"/>
  <c r="G22" i="16"/>
  <c r="F29" i="16"/>
  <c r="M43" i="17"/>
  <c r="C26" i="16"/>
  <c r="I27" i="16"/>
  <c r="E27" i="16"/>
  <c r="Q27" i="16" s="1"/>
  <c r="J26" i="16"/>
  <c r="F26" i="16"/>
  <c r="K25" i="16"/>
  <c r="L24" i="16"/>
  <c r="H24" i="16"/>
  <c r="D24" i="16"/>
  <c r="I23" i="16"/>
  <c r="E23" i="16"/>
  <c r="J22" i="16"/>
  <c r="F22" i="16"/>
  <c r="L25" i="16"/>
  <c r="D25" i="16"/>
  <c r="J29" i="16"/>
  <c r="C25" i="16"/>
  <c r="L27" i="16"/>
  <c r="H27" i="16"/>
  <c r="D27" i="16"/>
  <c r="I26" i="16"/>
  <c r="E26" i="16"/>
  <c r="Q26" i="16" s="1"/>
  <c r="J25" i="16"/>
  <c r="F25" i="16"/>
  <c r="K24" i="16"/>
  <c r="K29" i="16" s="1"/>
  <c r="L23" i="16"/>
  <c r="L29" i="16" s="1"/>
  <c r="H23" i="16"/>
  <c r="D23" i="16"/>
  <c r="D29" i="16" s="1"/>
  <c r="I22" i="16"/>
  <c r="E22" i="16"/>
  <c r="E29" i="16" s="1"/>
  <c r="P29" i="16"/>
  <c r="M53" i="17"/>
  <c r="H25" i="16"/>
  <c r="I29" i="16"/>
  <c r="C22" i="16"/>
  <c r="K27" i="16"/>
  <c r="L26" i="16"/>
  <c r="H26" i="16"/>
  <c r="D26" i="16"/>
  <c r="Q22" i="16"/>
  <c r="C29" i="16"/>
  <c r="Q13" i="16"/>
  <c r="U29" i="15"/>
  <c r="U30" i="15"/>
  <c r="U31" i="15"/>
  <c r="U32" i="15"/>
  <c r="U25" i="15"/>
  <c r="U26" i="15"/>
  <c r="U28" i="15"/>
  <c r="U24" i="15"/>
  <c r="D24" i="15"/>
  <c r="G24" i="15"/>
  <c r="H24" i="15"/>
  <c r="L24" i="15"/>
  <c r="D25" i="15"/>
  <c r="G25" i="15"/>
  <c r="H25" i="15"/>
  <c r="L25" i="15"/>
  <c r="D26" i="15"/>
  <c r="G26" i="15"/>
  <c r="H26" i="15"/>
  <c r="L26" i="15"/>
  <c r="D27" i="15"/>
  <c r="G27" i="15"/>
  <c r="H27" i="15"/>
  <c r="L27" i="15"/>
  <c r="D28" i="15"/>
  <c r="G28" i="15"/>
  <c r="H28" i="15"/>
  <c r="L28" i="15"/>
  <c r="D29" i="15"/>
  <c r="G29" i="15"/>
  <c r="H29" i="15"/>
  <c r="L29" i="15"/>
  <c r="D30" i="15"/>
  <c r="G30" i="15"/>
  <c r="H30" i="15"/>
  <c r="L30" i="15"/>
  <c r="D31" i="15"/>
  <c r="G31" i="15"/>
  <c r="H31" i="15"/>
  <c r="L31" i="15"/>
  <c r="D32" i="15"/>
  <c r="G32" i="15"/>
  <c r="H32" i="15"/>
  <c r="L32" i="15"/>
  <c r="P24" i="15"/>
  <c r="P18" i="15"/>
  <c r="P20" i="15" s="1"/>
  <c r="O18" i="15"/>
  <c r="O20" i="15" s="1"/>
  <c r="O24" i="15" s="1"/>
  <c r="N18" i="15"/>
  <c r="N20" i="15" s="1"/>
  <c r="N24" i="15" s="1"/>
  <c r="M18" i="15"/>
  <c r="M20" i="15" s="1"/>
  <c r="M24" i="15" s="1"/>
  <c r="L18" i="15"/>
  <c r="L20" i="15" s="1"/>
  <c r="J18" i="15"/>
  <c r="J20" i="15" s="1"/>
  <c r="J24" i="15" s="1"/>
  <c r="I18" i="15"/>
  <c r="I20" i="15" s="1"/>
  <c r="I24" i="15" s="1"/>
  <c r="F18" i="15"/>
  <c r="F20" i="15" s="1"/>
  <c r="F24" i="15" s="1"/>
  <c r="E18" i="15"/>
  <c r="E20" i="15" s="1"/>
  <c r="E24" i="15" s="1"/>
  <c r="D18" i="15"/>
  <c r="D20" i="15" s="1"/>
  <c r="C18" i="15"/>
  <c r="Q17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Q13" i="15"/>
  <c r="Q12" i="15"/>
  <c r="Q11" i="15"/>
  <c r="Q10" i="15"/>
  <c r="Q9" i="15"/>
  <c r="Q8" i="15"/>
  <c r="Q7" i="15"/>
  <c r="Q6" i="15"/>
  <c r="Q5" i="15"/>
  <c r="Q4" i="15"/>
  <c r="Q3" i="15"/>
  <c r="O32" i="15" l="1"/>
  <c r="O31" i="15"/>
  <c r="O30" i="15"/>
  <c r="O29" i="15"/>
  <c r="O28" i="15"/>
  <c r="O27" i="15"/>
  <c r="O26" i="15"/>
  <c r="O35" i="15" s="1"/>
  <c r="O25" i="15"/>
  <c r="Q25" i="16"/>
  <c r="N32" i="15"/>
  <c r="J32" i="15"/>
  <c r="F32" i="15"/>
  <c r="N31" i="15"/>
  <c r="J31" i="15"/>
  <c r="F31" i="15"/>
  <c r="N30" i="15"/>
  <c r="J30" i="15"/>
  <c r="F30" i="15"/>
  <c r="N29" i="15"/>
  <c r="J29" i="15"/>
  <c r="F29" i="15"/>
  <c r="N28" i="15"/>
  <c r="J28" i="15"/>
  <c r="F28" i="15"/>
  <c r="N27" i="15"/>
  <c r="J27" i="15"/>
  <c r="F27" i="15"/>
  <c r="N26" i="15"/>
  <c r="J26" i="15"/>
  <c r="F26" i="15"/>
  <c r="N25" i="15"/>
  <c r="J25" i="15"/>
  <c r="F25" i="15"/>
  <c r="G29" i="16"/>
  <c r="Q23" i="16"/>
  <c r="Q29" i="16" s="1"/>
  <c r="M32" i="15"/>
  <c r="I32" i="15"/>
  <c r="E32" i="15"/>
  <c r="M31" i="15"/>
  <c r="I31" i="15"/>
  <c r="E31" i="15"/>
  <c r="M30" i="15"/>
  <c r="I30" i="15"/>
  <c r="E30" i="15"/>
  <c r="M29" i="15"/>
  <c r="I29" i="15"/>
  <c r="E29" i="15"/>
  <c r="M28" i="15"/>
  <c r="I28" i="15"/>
  <c r="E28" i="15"/>
  <c r="M27" i="15"/>
  <c r="I27" i="15"/>
  <c r="E27" i="15"/>
  <c r="M26" i="15"/>
  <c r="I26" i="15"/>
  <c r="E26" i="15"/>
  <c r="M25" i="15"/>
  <c r="I25" i="15"/>
  <c r="E25" i="15"/>
  <c r="E35" i="15" s="1"/>
  <c r="Q14" i="15"/>
  <c r="P31" i="15"/>
  <c r="P29" i="15"/>
  <c r="P26" i="15"/>
  <c r="P35" i="15" s="1"/>
  <c r="D35" i="15"/>
  <c r="N35" i="15"/>
  <c r="K18" i="15"/>
  <c r="Q18" i="15" s="1"/>
  <c r="C20" i="15"/>
  <c r="R28" i="14"/>
  <c r="R26" i="14"/>
  <c r="C24" i="15" l="1"/>
  <c r="C26" i="15"/>
  <c r="C30" i="15"/>
  <c r="C29" i="15"/>
  <c r="C27" i="15"/>
  <c r="C31" i="15"/>
  <c r="C28" i="15"/>
  <c r="C32" i="15"/>
  <c r="C25" i="15"/>
  <c r="M35" i="15"/>
  <c r="L35" i="15"/>
  <c r="K20" i="15"/>
  <c r="F35" i="15"/>
  <c r="I35" i="15"/>
  <c r="U35" i="15"/>
  <c r="J35" i="15"/>
  <c r="G17" i="14"/>
  <c r="G24" i="14" s="1"/>
  <c r="F17" i="14"/>
  <c r="E17" i="14"/>
  <c r="E22" i="14" s="1"/>
  <c r="Q16" i="14"/>
  <c r="D17" i="14"/>
  <c r="D24" i="14" s="1"/>
  <c r="H17" i="14"/>
  <c r="H24" i="14" s="1"/>
  <c r="I17" i="14"/>
  <c r="C17" i="14"/>
  <c r="C23" i="14" s="1"/>
  <c r="G22" i="14"/>
  <c r="I13" i="14"/>
  <c r="H13" i="14"/>
  <c r="G13" i="14"/>
  <c r="F13" i="14"/>
  <c r="E13" i="14"/>
  <c r="D13" i="14"/>
  <c r="C13" i="14"/>
  <c r="Q9" i="14"/>
  <c r="Q8" i="14"/>
  <c r="Q7" i="14"/>
  <c r="Q6" i="14"/>
  <c r="Q5" i="14"/>
  <c r="Q4" i="14"/>
  <c r="Q3" i="14"/>
  <c r="C26" i="14" l="1"/>
  <c r="K24" i="15"/>
  <c r="Q24" i="15" s="1"/>
  <c r="K25" i="15"/>
  <c r="K26" i="15"/>
  <c r="Q26" i="15" s="1"/>
  <c r="K27" i="15"/>
  <c r="Q27" i="15" s="1"/>
  <c r="S28" i="15" s="1"/>
  <c r="K28" i="15"/>
  <c r="Q28" i="15" s="1"/>
  <c r="K29" i="15"/>
  <c r="K30" i="15"/>
  <c r="Q30" i="15" s="1"/>
  <c r="K31" i="15"/>
  <c r="Q31" i="15" s="1"/>
  <c r="K32" i="15"/>
  <c r="Q32" i="15" s="1"/>
  <c r="C22" i="14"/>
  <c r="S31" i="15"/>
  <c r="S24" i="15"/>
  <c r="S32" i="15"/>
  <c r="S29" i="15"/>
  <c r="S25" i="15"/>
  <c r="S26" i="15"/>
  <c r="Q25" i="15"/>
  <c r="C35" i="15"/>
  <c r="Q29" i="15"/>
  <c r="G25" i="14"/>
  <c r="G23" i="14"/>
  <c r="G27" i="14"/>
  <c r="E25" i="14"/>
  <c r="G26" i="14"/>
  <c r="C25" i="14"/>
  <c r="C21" i="14"/>
  <c r="G21" i="14"/>
  <c r="I26" i="14"/>
  <c r="I22" i="14"/>
  <c r="I24" i="14"/>
  <c r="I25" i="14"/>
  <c r="I21" i="14"/>
  <c r="I23" i="14"/>
  <c r="I27" i="14"/>
  <c r="F26" i="14"/>
  <c r="F21" i="14"/>
  <c r="F24" i="14"/>
  <c r="F27" i="14"/>
  <c r="F23" i="14"/>
  <c r="F25" i="14"/>
  <c r="F22" i="14"/>
  <c r="E24" i="14"/>
  <c r="E21" i="14"/>
  <c r="E27" i="14"/>
  <c r="E26" i="14"/>
  <c r="E23" i="14"/>
  <c r="C24" i="14"/>
  <c r="Q17" i="14"/>
  <c r="C27" i="14"/>
  <c r="H21" i="14"/>
  <c r="H25" i="14"/>
  <c r="D25" i="14"/>
  <c r="D21" i="14"/>
  <c r="H26" i="14"/>
  <c r="D26" i="14"/>
  <c r="H22" i="14"/>
  <c r="D22" i="14"/>
  <c r="H27" i="14"/>
  <c r="D27" i="14"/>
  <c r="H23" i="14"/>
  <c r="D23" i="14"/>
  <c r="Q13" i="14"/>
  <c r="O31" i="13"/>
  <c r="R25" i="13"/>
  <c r="R26" i="13"/>
  <c r="R27" i="13"/>
  <c r="R28" i="13"/>
  <c r="R30" i="13"/>
  <c r="R31" i="13"/>
  <c r="R32" i="13"/>
  <c r="R33" i="13"/>
  <c r="R34" i="13"/>
  <c r="R24" i="13"/>
  <c r="E20" i="13"/>
  <c r="E33" i="13" s="1"/>
  <c r="I20" i="13"/>
  <c r="I28" i="13" s="1"/>
  <c r="M20" i="13"/>
  <c r="M30" i="13" s="1"/>
  <c r="O20" i="13"/>
  <c r="C19" i="13"/>
  <c r="U28" i="13" s="1"/>
  <c r="K17" i="13"/>
  <c r="N17" i="13"/>
  <c r="N18" i="13" s="1"/>
  <c r="Q12" i="13"/>
  <c r="P18" i="13"/>
  <c r="P20" i="13" s="1"/>
  <c r="P31" i="13" s="1"/>
  <c r="O18" i="13"/>
  <c r="M18" i="13"/>
  <c r="L18" i="13"/>
  <c r="L20" i="13" s="1"/>
  <c r="K18" i="13"/>
  <c r="K20" i="13" s="1"/>
  <c r="K25" i="13" s="1"/>
  <c r="J18" i="13"/>
  <c r="J20" i="13" s="1"/>
  <c r="I18" i="13"/>
  <c r="H18" i="13"/>
  <c r="H20" i="13" s="1"/>
  <c r="H24" i="13" s="1"/>
  <c r="G18" i="13"/>
  <c r="G20" i="13" s="1"/>
  <c r="G25" i="13" s="1"/>
  <c r="Q25" i="13" s="1"/>
  <c r="F18" i="13"/>
  <c r="F20" i="13" s="1"/>
  <c r="E18" i="13"/>
  <c r="D18" i="13"/>
  <c r="D20" i="13" s="1"/>
  <c r="D26" i="13" s="1"/>
  <c r="C18" i="13"/>
  <c r="C20" i="13" s="1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Q13" i="13"/>
  <c r="Q11" i="13"/>
  <c r="Q10" i="13"/>
  <c r="Q9" i="13"/>
  <c r="Q8" i="13"/>
  <c r="Q7" i="13"/>
  <c r="Q6" i="13"/>
  <c r="Q5" i="13"/>
  <c r="Q4" i="13"/>
  <c r="Q3" i="13"/>
  <c r="J28" i="13" l="1"/>
  <c r="J27" i="13"/>
  <c r="F27" i="13"/>
  <c r="Q27" i="13" s="1"/>
  <c r="F32" i="13"/>
  <c r="F34" i="13"/>
  <c r="F24" i="13"/>
  <c r="Q24" i="13" s="1"/>
  <c r="F28" i="13"/>
  <c r="Q28" i="13" s="1"/>
  <c r="F31" i="13"/>
  <c r="Q31" i="13" s="1"/>
  <c r="C30" i="13"/>
  <c r="Q30" i="13" s="1"/>
  <c r="C29" i="13"/>
  <c r="Q26" i="13"/>
  <c r="L24" i="13"/>
  <c r="L34" i="13"/>
  <c r="L29" i="13"/>
  <c r="K35" i="15"/>
  <c r="Q35" i="15" s="1"/>
  <c r="M26" i="13"/>
  <c r="U24" i="13"/>
  <c r="U31" i="13"/>
  <c r="U32" i="13"/>
  <c r="U27" i="13"/>
  <c r="U26" i="13"/>
  <c r="U34" i="13"/>
  <c r="U30" i="13"/>
  <c r="U25" i="13"/>
  <c r="I27" i="13"/>
  <c r="N20" i="13"/>
  <c r="U33" i="13"/>
  <c r="S30" i="15"/>
  <c r="T29" i="15"/>
  <c r="T30" i="15"/>
  <c r="T31" i="15"/>
  <c r="T32" i="15"/>
  <c r="T28" i="15"/>
  <c r="T26" i="15"/>
  <c r="T25" i="15"/>
  <c r="T24" i="15"/>
  <c r="I28" i="14"/>
  <c r="Q26" i="14"/>
  <c r="Q25" i="14"/>
  <c r="Q24" i="14"/>
  <c r="Q22" i="14"/>
  <c r="Q21" i="14"/>
  <c r="C28" i="14"/>
  <c r="D28" i="14"/>
  <c r="Q23" i="14"/>
  <c r="Q27" i="14"/>
  <c r="Q17" i="13"/>
  <c r="Q18" i="13"/>
  <c r="Q14" i="13"/>
  <c r="P26" i="13"/>
  <c r="P29" i="13"/>
  <c r="P34" i="13"/>
  <c r="R25" i="12"/>
  <c r="R26" i="12"/>
  <c r="R27" i="12"/>
  <c r="R28" i="12"/>
  <c r="R29" i="12"/>
  <c r="R30" i="12"/>
  <c r="R31" i="12"/>
  <c r="R24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C19" i="12"/>
  <c r="C17" i="12"/>
  <c r="P13" i="12"/>
  <c r="Q6" i="12"/>
  <c r="Q10" i="12"/>
  <c r="U34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Q16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Q12" i="12"/>
  <c r="Q11" i="12"/>
  <c r="Q9" i="12"/>
  <c r="Q8" i="12"/>
  <c r="Q7" i="12"/>
  <c r="Q5" i="12"/>
  <c r="Q4" i="12"/>
  <c r="Q3" i="12"/>
  <c r="N32" i="13" l="1"/>
  <c r="N33" i="13"/>
  <c r="Q33" i="13" s="1"/>
  <c r="Q29" i="13"/>
  <c r="U35" i="13"/>
  <c r="Q34" i="13"/>
  <c r="Q32" i="13"/>
  <c r="T35" i="15"/>
  <c r="Q28" i="14"/>
  <c r="H35" i="13"/>
  <c r="F35" i="13"/>
  <c r="N35" i="13"/>
  <c r="J35" i="13"/>
  <c r="P35" i="13"/>
  <c r="J20" i="12"/>
  <c r="J26" i="12" s="1"/>
  <c r="N20" i="12"/>
  <c r="N33" i="12" s="1"/>
  <c r="F20" i="12"/>
  <c r="F31" i="12" s="1"/>
  <c r="C20" i="12"/>
  <c r="C33" i="12" s="1"/>
  <c r="G20" i="12"/>
  <c r="G28" i="12" s="1"/>
  <c r="K20" i="12"/>
  <c r="K25" i="12" s="1"/>
  <c r="O20" i="12"/>
  <c r="O30" i="12" s="1"/>
  <c r="D20" i="12"/>
  <c r="D32" i="12" s="1"/>
  <c r="H20" i="12"/>
  <c r="H33" i="12" s="1"/>
  <c r="L20" i="12"/>
  <c r="L31" i="12" s="1"/>
  <c r="P20" i="12"/>
  <c r="P26" i="12" s="1"/>
  <c r="Q17" i="12"/>
  <c r="M20" i="12"/>
  <c r="M29" i="12" s="1"/>
  <c r="I20" i="12"/>
  <c r="I33" i="12" s="1"/>
  <c r="E20" i="12"/>
  <c r="E27" i="12" s="1"/>
  <c r="F29" i="12"/>
  <c r="J30" i="12"/>
  <c r="J32" i="12"/>
  <c r="Q19" i="12"/>
  <c r="Q13" i="12"/>
  <c r="K26" i="12"/>
  <c r="S32" i="11"/>
  <c r="N13" i="11"/>
  <c r="O13" i="11"/>
  <c r="P13" i="11"/>
  <c r="P17" i="11"/>
  <c r="P18" i="11" s="1"/>
  <c r="O17" i="11"/>
  <c r="O18" i="11" s="1"/>
  <c r="N17" i="11"/>
  <c r="N18" i="11" s="1"/>
  <c r="M17" i="11"/>
  <c r="M18" i="11" s="1"/>
  <c r="M23" i="11" s="1"/>
  <c r="L17" i="11"/>
  <c r="L18" i="11" s="1"/>
  <c r="L26" i="11" s="1"/>
  <c r="K17" i="11"/>
  <c r="K18" i="11" s="1"/>
  <c r="K25" i="11" s="1"/>
  <c r="J17" i="11"/>
  <c r="J18" i="11" s="1"/>
  <c r="J24" i="11" s="1"/>
  <c r="I17" i="11"/>
  <c r="I18" i="11" s="1"/>
  <c r="I23" i="11" s="1"/>
  <c r="H17" i="11"/>
  <c r="H18" i="11" s="1"/>
  <c r="H26" i="11" s="1"/>
  <c r="G17" i="11"/>
  <c r="G18" i="11" s="1"/>
  <c r="G25" i="11" s="1"/>
  <c r="F17" i="11"/>
  <c r="F18" i="11" s="1"/>
  <c r="F24" i="11" s="1"/>
  <c r="E17" i="11"/>
  <c r="E18" i="11" s="1"/>
  <c r="E23" i="11" s="1"/>
  <c r="D17" i="11"/>
  <c r="D18" i="11" s="1"/>
  <c r="D26" i="11" s="1"/>
  <c r="C17" i="11"/>
  <c r="C18" i="11" s="1"/>
  <c r="C25" i="11" s="1"/>
  <c r="Q16" i="11"/>
  <c r="Q17" i="11" s="1"/>
  <c r="Q18" i="11" s="1"/>
  <c r="M13" i="11"/>
  <c r="L13" i="11"/>
  <c r="K13" i="11"/>
  <c r="J13" i="11"/>
  <c r="I13" i="11"/>
  <c r="H13" i="11"/>
  <c r="G13" i="11"/>
  <c r="F13" i="11"/>
  <c r="E13" i="11"/>
  <c r="D13" i="11"/>
  <c r="C13" i="11"/>
  <c r="Q12" i="11"/>
  <c r="Q11" i="11"/>
  <c r="Q10" i="11"/>
  <c r="Q9" i="11"/>
  <c r="Q8" i="11"/>
  <c r="Q7" i="11"/>
  <c r="Q6" i="11"/>
  <c r="Q5" i="11"/>
  <c r="Q4" i="11"/>
  <c r="Q3" i="11"/>
  <c r="S24" i="13" l="1"/>
  <c r="T24" i="13" s="1"/>
  <c r="S31" i="13"/>
  <c r="T31" i="13" s="1"/>
  <c r="S26" i="13"/>
  <c r="T26" i="13" s="1"/>
  <c r="S28" i="13"/>
  <c r="T28" i="13" s="1"/>
  <c r="S27" i="13"/>
  <c r="T27" i="13" s="1"/>
  <c r="S33" i="13"/>
  <c r="T33" i="13" s="1"/>
  <c r="S30" i="13"/>
  <c r="T30" i="13" s="1"/>
  <c r="S32" i="13"/>
  <c r="T32" i="13" s="1"/>
  <c r="S34" i="13"/>
  <c r="T34" i="13" s="1"/>
  <c r="S25" i="13"/>
  <c r="T25" i="13" s="1"/>
  <c r="I30" i="12"/>
  <c r="N24" i="12"/>
  <c r="N25" i="12"/>
  <c r="G33" i="12"/>
  <c r="G32" i="12"/>
  <c r="J24" i="12"/>
  <c r="I35" i="13"/>
  <c r="O35" i="13"/>
  <c r="L35" i="13"/>
  <c r="C35" i="13"/>
  <c r="K35" i="13"/>
  <c r="G35" i="13"/>
  <c r="D35" i="13"/>
  <c r="M35" i="13"/>
  <c r="E35" i="13"/>
  <c r="K33" i="12"/>
  <c r="K32" i="12"/>
  <c r="N29" i="12"/>
  <c r="K29" i="12"/>
  <c r="K27" i="12"/>
  <c r="N26" i="12"/>
  <c r="K24" i="12"/>
  <c r="K31" i="12"/>
  <c r="K28" i="12"/>
  <c r="N27" i="12"/>
  <c r="N28" i="12"/>
  <c r="K30" i="12"/>
  <c r="I24" i="12"/>
  <c r="N31" i="12"/>
  <c r="N30" i="12"/>
  <c r="I26" i="12"/>
  <c r="I32" i="12"/>
  <c r="D30" i="12"/>
  <c r="L33" i="12"/>
  <c r="F26" i="12"/>
  <c r="L24" i="12"/>
  <c r="E31" i="12"/>
  <c r="F32" i="12"/>
  <c r="L29" i="12"/>
  <c r="G27" i="12"/>
  <c r="H32" i="12"/>
  <c r="G26" i="12"/>
  <c r="J31" i="12"/>
  <c r="J27" i="12"/>
  <c r="G29" i="12"/>
  <c r="G24" i="12"/>
  <c r="G30" i="12"/>
  <c r="G31" i="12"/>
  <c r="H30" i="12"/>
  <c r="M24" i="12"/>
  <c r="J28" i="12"/>
  <c r="J29" i="12"/>
  <c r="L27" i="12"/>
  <c r="G25" i="12"/>
  <c r="J25" i="12"/>
  <c r="H28" i="12"/>
  <c r="M33" i="12"/>
  <c r="J33" i="12"/>
  <c r="F28" i="12"/>
  <c r="I28" i="12"/>
  <c r="N32" i="12"/>
  <c r="F27" i="12"/>
  <c r="L25" i="12"/>
  <c r="L26" i="12"/>
  <c r="C30" i="12"/>
  <c r="C31" i="12"/>
  <c r="C24" i="12"/>
  <c r="C28" i="12"/>
  <c r="D29" i="12"/>
  <c r="H24" i="11"/>
  <c r="O26" i="12"/>
  <c r="C25" i="12"/>
  <c r="C26" i="12"/>
  <c r="F30" i="12"/>
  <c r="F24" i="12"/>
  <c r="F25" i="12"/>
  <c r="D24" i="12"/>
  <c r="D33" i="12"/>
  <c r="C27" i="12"/>
  <c r="C29" i="12"/>
  <c r="D27" i="12"/>
  <c r="D25" i="12"/>
  <c r="O32" i="12"/>
  <c r="C32" i="12"/>
  <c r="F33" i="12"/>
  <c r="D31" i="12"/>
  <c r="D28" i="12"/>
  <c r="O24" i="12"/>
  <c r="O31" i="12"/>
  <c r="O28" i="12"/>
  <c r="E25" i="12"/>
  <c r="P31" i="12"/>
  <c r="O33" i="12"/>
  <c r="O27" i="12"/>
  <c r="O25" i="12"/>
  <c r="D26" i="12"/>
  <c r="L28" i="11"/>
  <c r="O29" i="12"/>
  <c r="E26" i="12"/>
  <c r="D28" i="11"/>
  <c r="L23" i="11"/>
  <c r="H24" i="12"/>
  <c r="H26" i="12"/>
  <c r="M30" i="12"/>
  <c r="M32" i="12"/>
  <c r="M26" i="12"/>
  <c r="D27" i="11"/>
  <c r="H23" i="11"/>
  <c r="Q20" i="12"/>
  <c r="H31" i="12"/>
  <c r="H25" i="12"/>
  <c r="M28" i="12"/>
  <c r="M31" i="12"/>
  <c r="M25" i="12"/>
  <c r="K22" i="11"/>
  <c r="G26" i="11"/>
  <c r="H27" i="12"/>
  <c r="H29" i="12"/>
  <c r="M27" i="12"/>
  <c r="E28" i="11"/>
  <c r="I24" i="11"/>
  <c r="E26" i="11"/>
  <c r="E33" i="12"/>
  <c r="G22" i="11"/>
  <c r="I28" i="11"/>
  <c r="L27" i="11"/>
  <c r="K26" i="11"/>
  <c r="C26" i="11"/>
  <c r="M24" i="11"/>
  <c r="E24" i="11"/>
  <c r="D23" i="11"/>
  <c r="P33" i="12"/>
  <c r="E28" i="12"/>
  <c r="E30" i="12"/>
  <c r="I31" i="12"/>
  <c r="I27" i="12"/>
  <c r="I25" i="12"/>
  <c r="L30" i="12"/>
  <c r="L32" i="12"/>
  <c r="M28" i="11"/>
  <c r="I25" i="11"/>
  <c r="I22" i="11"/>
  <c r="M26" i="11"/>
  <c r="E25" i="11"/>
  <c r="P29" i="12"/>
  <c r="E32" i="12"/>
  <c r="M22" i="11"/>
  <c r="E22" i="11"/>
  <c r="H28" i="11"/>
  <c r="H27" i="11"/>
  <c r="I26" i="11"/>
  <c r="M25" i="11"/>
  <c r="L24" i="11"/>
  <c r="D24" i="11"/>
  <c r="E29" i="12"/>
  <c r="E24" i="12"/>
  <c r="I29" i="12"/>
  <c r="L28" i="12"/>
  <c r="F25" i="11"/>
  <c r="J22" i="11"/>
  <c r="K27" i="11"/>
  <c r="C27" i="11"/>
  <c r="F26" i="11"/>
  <c r="K23" i="11"/>
  <c r="C23" i="11"/>
  <c r="C24" i="11"/>
  <c r="J23" i="11"/>
  <c r="F23" i="11"/>
  <c r="J25" i="11"/>
  <c r="F22" i="11"/>
  <c r="G27" i="11"/>
  <c r="J26" i="11"/>
  <c r="G23" i="11"/>
  <c r="K28" i="11"/>
  <c r="G28" i="11"/>
  <c r="C28" i="11"/>
  <c r="J27" i="11"/>
  <c r="F27" i="11"/>
  <c r="L25" i="11"/>
  <c r="H25" i="11"/>
  <c r="D25" i="11"/>
  <c r="K24" i="11"/>
  <c r="G24" i="11"/>
  <c r="L22" i="11"/>
  <c r="H22" i="11"/>
  <c r="D22" i="11"/>
  <c r="J28" i="11"/>
  <c r="F28" i="11"/>
  <c r="M27" i="11"/>
  <c r="I27" i="11"/>
  <c r="E27" i="11"/>
  <c r="C22" i="11"/>
  <c r="Q13" i="11"/>
  <c r="F26" i="10"/>
  <c r="C17" i="10"/>
  <c r="C18" i="10" s="1"/>
  <c r="C22" i="10" s="1"/>
  <c r="D17" i="10"/>
  <c r="D18" i="10" s="1"/>
  <c r="D22" i="10" s="1"/>
  <c r="E4" i="10"/>
  <c r="E5" i="10"/>
  <c r="E6" i="10"/>
  <c r="E7" i="10"/>
  <c r="E8" i="10"/>
  <c r="E9" i="10"/>
  <c r="E10" i="10"/>
  <c r="E11" i="10"/>
  <c r="E12" i="10"/>
  <c r="E3" i="10"/>
  <c r="H32" i="10"/>
  <c r="D13" i="10"/>
  <c r="C13" i="10"/>
  <c r="Q35" i="13" l="1"/>
  <c r="K34" i="12"/>
  <c r="N34" i="12"/>
  <c r="J34" i="12"/>
  <c r="G34" i="12"/>
  <c r="L34" i="12"/>
  <c r="D27" i="10"/>
  <c r="Q30" i="12"/>
  <c r="C34" i="12"/>
  <c r="F34" i="12"/>
  <c r="D34" i="12"/>
  <c r="Q32" i="12"/>
  <c r="S24" i="12" s="1"/>
  <c r="Q31" i="12"/>
  <c r="Q33" i="12"/>
  <c r="S33" i="12" s="1"/>
  <c r="Q26" i="12"/>
  <c r="O34" i="12"/>
  <c r="Q24" i="12"/>
  <c r="P34" i="12"/>
  <c r="Q25" i="12"/>
  <c r="Q28" i="12"/>
  <c r="H34" i="12"/>
  <c r="Q27" i="12"/>
  <c r="M34" i="12"/>
  <c r="Q29" i="12"/>
  <c r="E34" i="12"/>
  <c r="I34" i="12"/>
  <c r="E22" i="10"/>
  <c r="D25" i="10"/>
  <c r="D23" i="10"/>
  <c r="M32" i="11"/>
  <c r="L32" i="11"/>
  <c r="D32" i="11"/>
  <c r="N32" i="11"/>
  <c r="F32" i="11"/>
  <c r="Q30" i="11"/>
  <c r="H32" i="11"/>
  <c r="O32" i="11"/>
  <c r="J32" i="11"/>
  <c r="E32" i="11"/>
  <c r="K32" i="11"/>
  <c r="I32" i="11"/>
  <c r="C32" i="11"/>
  <c r="G32" i="11"/>
  <c r="Q31" i="11"/>
  <c r="Q29" i="11"/>
  <c r="C27" i="10"/>
  <c r="C25" i="10"/>
  <c r="C23" i="10"/>
  <c r="D28" i="10"/>
  <c r="C28" i="10"/>
  <c r="D26" i="10"/>
  <c r="D24" i="10"/>
  <c r="C26" i="10"/>
  <c r="C24" i="10"/>
  <c r="E13" i="10"/>
  <c r="L14" i="9"/>
  <c r="L15" i="9" s="1"/>
  <c r="M14" i="9"/>
  <c r="M15" i="9" s="1"/>
  <c r="N14" i="9"/>
  <c r="N15" i="9" s="1"/>
  <c r="O14" i="9"/>
  <c r="K14" i="9"/>
  <c r="K15" i="9" s="1"/>
  <c r="P13" i="9"/>
  <c r="P14" i="9" s="1"/>
  <c r="G4" i="9"/>
  <c r="G5" i="9"/>
  <c r="F14" i="9"/>
  <c r="F15" i="9" s="1"/>
  <c r="E14" i="9"/>
  <c r="E15" i="9" s="1"/>
  <c r="D14" i="9"/>
  <c r="D15" i="9" s="1"/>
  <c r="C14" i="9"/>
  <c r="C15" i="9" s="1"/>
  <c r="H13" i="9"/>
  <c r="H14" i="9" s="1"/>
  <c r="H15" i="9" s="1"/>
  <c r="E10" i="9"/>
  <c r="D10" i="9"/>
  <c r="C10" i="9"/>
  <c r="G9" i="9"/>
  <c r="G8" i="9"/>
  <c r="G7" i="9"/>
  <c r="G6" i="9"/>
  <c r="G3" i="9"/>
  <c r="S30" i="12" l="1"/>
  <c r="T30" i="12" s="1"/>
  <c r="T35" i="13"/>
  <c r="S27" i="12"/>
  <c r="E27" i="10"/>
  <c r="G27" i="10" s="1"/>
  <c r="S28" i="12"/>
  <c r="T28" i="12" s="1"/>
  <c r="S26" i="12"/>
  <c r="T26" i="12" s="1"/>
  <c r="S31" i="12"/>
  <c r="T31" i="12" s="1"/>
  <c r="S32" i="12"/>
  <c r="T24" i="12"/>
  <c r="S29" i="12"/>
  <c r="T29" i="12" s="1"/>
  <c r="S25" i="12"/>
  <c r="T25" i="12" s="1"/>
  <c r="E25" i="10"/>
  <c r="G25" i="10" s="1"/>
  <c r="Q34" i="12"/>
  <c r="T27" i="12"/>
  <c r="E23" i="10"/>
  <c r="G23" i="10" s="1"/>
  <c r="E26" i="10"/>
  <c r="G26" i="10" s="1"/>
  <c r="E24" i="10"/>
  <c r="G24" i="10" s="1"/>
  <c r="E28" i="10"/>
  <c r="G28" i="10" s="1"/>
  <c r="C32" i="10"/>
  <c r="G22" i="10"/>
  <c r="D32" i="10"/>
  <c r="D21" i="9"/>
  <c r="C21" i="9"/>
  <c r="C19" i="9"/>
  <c r="D20" i="9"/>
  <c r="D19" i="9"/>
  <c r="C20" i="9"/>
  <c r="P15" i="9"/>
  <c r="F10" i="9"/>
  <c r="G10" i="9" s="1"/>
  <c r="J26" i="8"/>
  <c r="T34" i="12" l="1"/>
  <c r="E32" i="10"/>
  <c r="G32" i="10"/>
  <c r="E19" i="9"/>
  <c r="C25" i="9"/>
  <c r="C26" i="9" s="1"/>
  <c r="D25" i="9"/>
  <c r="E20" i="9"/>
  <c r="E21" i="9"/>
  <c r="H20" i="8"/>
  <c r="H21" i="8"/>
  <c r="H22" i="8"/>
  <c r="H23" i="8"/>
  <c r="H24" i="8"/>
  <c r="H25" i="8"/>
  <c r="H19" i="8"/>
  <c r="G4" i="8"/>
  <c r="G5" i="8"/>
  <c r="G6" i="8"/>
  <c r="G7" i="8"/>
  <c r="G8" i="8"/>
  <c r="G9" i="8"/>
  <c r="G3" i="8"/>
  <c r="F14" i="8"/>
  <c r="F15" i="8" s="1"/>
  <c r="D14" i="8"/>
  <c r="D15" i="8" s="1"/>
  <c r="C14" i="8"/>
  <c r="C15" i="8" s="1"/>
  <c r="H13" i="8"/>
  <c r="F10" i="8"/>
  <c r="E10" i="8"/>
  <c r="D10" i="8"/>
  <c r="C10" i="8"/>
  <c r="E25" i="9" l="1"/>
  <c r="D26" i="9"/>
  <c r="E26" i="9" s="1"/>
  <c r="G10" i="8"/>
  <c r="F25" i="8"/>
  <c r="F24" i="8"/>
  <c r="F21" i="8"/>
  <c r="F20" i="8"/>
  <c r="F23" i="8"/>
  <c r="F22" i="8"/>
  <c r="F19" i="8"/>
  <c r="D25" i="8"/>
  <c r="D24" i="8"/>
  <c r="D23" i="8"/>
  <c r="D22" i="8"/>
  <c r="D21" i="8"/>
  <c r="D20" i="8"/>
  <c r="D19" i="8"/>
  <c r="C25" i="8"/>
  <c r="C22" i="8"/>
  <c r="C21" i="8"/>
  <c r="C20" i="8"/>
  <c r="C19" i="8"/>
  <c r="C24" i="8"/>
  <c r="C23" i="8"/>
  <c r="H14" i="8"/>
  <c r="H15" i="8" s="1"/>
  <c r="E14" i="8"/>
  <c r="E15" i="8" s="1"/>
  <c r="D17" i="7"/>
  <c r="D18" i="7" s="1"/>
  <c r="D27" i="7" s="1"/>
  <c r="F17" i="7"/>
  <c r="F18" i="7" s="1"/>
  <c r="F25" i="7" s="1"/>
  <c r="G17" i="7"/>
  <c r="G18" i="7" s="1"/>
  <c r="H17" i="7"/>
  <c r="H18" i="7" s="1"/>
  <c r="I17" i="7"/>
  <c r="I18" i="7" s="1"/>
  <c r="E13" i="7"/>
  <c r="F13" i="7"/>
  <c r="G13" i="7"/>
  <c r="H13" i="7"/>
  <c r="E16" i="7"/>
  <c r="E17" i="7" s="1"/>
  <c r="C17" i="7"/>
  <c r="C18" i="7" s="1"/>
  <c r="C26" i="7" s="1"/>
  <c r="I13" i="7"/>
  <c r="D13" i="7"/>
  <c r="C13" i="7"/>
  <c r="Q9" i="7"/>
  <c r="Q8" i="7"/>
  <c r="Q7" i="7"/>
  <c r="Q6" i="7"/>
  <c r="Q5" i="7"/>
  <c r="Q4" i="7"/>
  <c r="Q3" i="7"/>
  <c r="Q16" i="7" l="1"/>
  <c r="Q17" i="7" s="1"/>
  <c r="Q18" i="7" s="1"/>
  <c r="C27" i="7"/>
  <c r="H27" i="7"/>
  <c r="H28" i="7"/>
  <c r="H23" i="7"/>
  <c r="H24" i="7"/>
  <c r="C22" i="7"/>
  <c r="C23" i="7"/>
  <c r="E18" i="7"/>
  <c r="E27" i="7" s="1"/>
  <c r="G26" i="7"/>
  <c r="G22" i="7"/>
  <c r="G25" i="7"/>
  <c r="G24" i="7"/>
  <c r="G28" i="7"/>
  <c r="G23" i="7"/>
  <c r="G27" i="7"/>
  <c r="I24" i="7"/>
  <c r="I28" i="7"/>
  <c r="I23" i="7"/>
  <c r="I27" i="7"/>
  <c r="I26" i="7"/>
  <c r="I22" i="7"/>
  <c r="I25" i="7"/>
  <c r="F22" i="7"/>
  <c r="F26" i="7"/>
  <c r="D24" i="7"/>
  <c r="C28" i="7"/>
  <c r="F27" i="7"/>
  <c r="H25" i="7"/>
  <c r="D25" i="7"/>
  <c r="C24" i="7"/>
  <c r="H22" i="7"/>
  <c r="F28" i="7"/>
  <c r="H26" i="7"/>
  <c r="D26" i="7"/>
  <c r="C25" i="7"/>
  <c r="F24" i="7"/>
  <c r="F26" i="8"/>
  <c r="D23" i="7"/>
  <c r="D28" i="7"/>
  <c r="F23" i="7"/>
  <c r="D22" i="7"/>
  <c r="D26" i="8"/>
  <c r="E25" i="8"/>
  <c r="G25" i="8" s="1"/>
  <c r="I25" i="8" s="1"/>
  <c r="E24" i="8"/>
  <c r="G24" i="8" s="1"/>
  <c r="I24" i="8" s="1"/>
  <c r="E23" i="8"/>
  <c r="G23" i="8" s="1"/>
  <c r="I23" i="8" s="1"/>
  <c r="E22" i="8"/>
  <c r="G22" i="8" s="1"/>
  <c r="I22" i="8" s="1"/>
  <c r="E21" i="8"/>
  <c r="G21" i="8" s="1"/>
  <c r="I21" i="8" s="1"/>
  <c r="E20" i="8"/>
  <c r="G20" i="8" s="1"/>
  <c r="I20" i="8" s="1"/>
  <c r="E19" i="8"/>
  <c r="C26" i="8"/>
  <c r="Q13" i="7"/>
  <c r="O18" i="5"/>
  <c r="N16" i="5"/>
  <c r="P16" i="5" s="1"/>
  <c r="D18" i="5"/>
  <c r="D19" i="5" s="1"/>
  <c r="E18" i="5"/>
  <c r="E19" i="5" s="1"/>
  <c r="F18" i="5"/>
  <c r="G18" i="5"/>
  <c r="G19" i="5" s="1"/>
  <c r="G27" i="5" s="1"/>
  <c r="C18" i="5"/>
  <c r="H2" i="5"/>
  <c r="H3" i="5"/>
  <c r="H4" i="5"/>
  <c r="H5" i="5"/>
  <c r="H6" i="5"/>
  <c r="H7" i="5"/>
  <c r="H8" i="5"/>
  <c r="H9" i="5"/>
  <c r="H10" i="5"/>
  <c r="F19" i="5"/>
  <c r="H17" i="5"/>
  <c r="G11" i="5"/>
  <c r="F11" i="5"/>
  <c r="E11" i="5"/>
  <c r="D11" i="5"/>
  <c r="C11" i="5"/>
  <c r="C18" i="4"/>
  <c r="D18" i="4"/>
  <c r="E18" i="4"/>
  <c r="F18" i="4"/>
  <c r="F19" i="4" s="1"/>
  <c r="G18" i="4"/>
  <c r="H18" i="4"/>
  <c r="I18" i="4"/>
  <c r="I19" i="4" s="1"/>
  <c r="J18" i="4"/>
  <c r="J19" i="4" s="1"/>
  <c r="K3" i="4"/>
  <c r="K4" i="4"/>
  <c r="K5" i="4"/>
  <c r="K6" i="4"/>
  <c r="K7" i="4"/>
  <c r="K8" i="4"/>
  <c r="K9" i="4"/>
  <c r="K10" i="4"/>
  <c r="K2" i="4"/>
  <c r="K17" i="4"/>
  <c r="J11" i="4"/>
  <c r="I11" i="4"/>
  <c r="H11" i="4"/>
  <c r="G11" i="4"/>
  <c r="F11" i="4"/>
  <c r="E11" i="4"/>
  <c r="D11" i="4"/>
  <c r="C11" i="4"/>
  <c r="E23" i="7" l="1"/>
  <c r="Q23" i="7" s="1"/>
  <c r="E28" i="7"/>
  <c r="Q28" i="7" s="1"/>
  <c r="E25" i="7"/>
  <c r="Q25" i="7" s="1"/>
  <c r="N18" i="5"/>
  <c r="E22" i="7"/>
  <c r="Q22" i="7" s="1"/>
  <c r="E26" i="7"/>
  <c r="Q26" i="7" s="1"/>
  <c r="E24" i="7"/>
  <c r="Q24" i="7" s="1"/>
  <c r="I29" i="7"/>
  <c r="C29" i="7"/>
  <c r="Q27" i="7"/>
  <c r="D29" i="7"/>
  <c r="K18" i="4"/>
  <c r="H11" i="5"/>
  <c r="G19" i="8"/>
  <c r="I19" i="8" s="1"/>
  <c r="I26" i="8" s="1"/>
  <c r="E26" i="8"/>
  <c r="G26" i="8" s="1"/>
  <c r="H26" i="8" s="1"/>
  <c r="F28" i="5"/>
  <c r="F30" i="5"/>
  <c r="F26" i="5"/>
  <c r="F29" i="5"/>
  <c r="F25" i="5"/>
  <c r="H18" i="5"/>
  <c r="C19" i="5"/>
  <c r="C27" i="5" s="1"/>
  <c r="D30" i="5"/>
  <c r="D26" i="5"/>
  <c r="D27" i="5"/>
  <c r="D29" i="5"/>
  <c r="D25" i="5"/>
  <c r="D28" i="5"/>
  <c r="E30" i="5"/>
  <c r="E29" i="5"/>
  <c r="E25" i="5"/>
  <c r="E26" i="5"/>
  <c r="E28" i="5"/>
  <c r="E27" i="5"/>
  <c r="G25" i="5"/>
  <c r="G29" i="5"/>
  <c r="G26" i="5"/>
  <c r="F27" i="5"/>
  <c r="G30" i="5"/>
  <c r="G28" i="5"/>
  <c r="J30" i="4"/>
  <c r="J26" i="4"/>
  <c r="F30" i="4"/>
  <c r="F26" i="4"/>
  <c r="J28" i="4"/>
  <c r="F28" i="4"/>
  <c r="I30" i="4"/>
  <c r="I28" i="4"/>
  <c r="I26" i="4"/>
  <c r="J25" i="4"/>
  <c r="F25" i="4"/>
  <c r="J29" i="4"/>
  <c r="F29" i="4"/>
  <c r="J27" i="4"/>
  <c r="F27" i="4"/>
  <c r="I25" i="4"/>
  <c r="I29" i="4"/>
  <c r="I27" i="4"/>
  <c r="K11" i="4"/>
  <c r="E19" i="4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C21" i="3"/>
  <c r="C22" i="3" s="1"/>
  <c r="P44" i="3"/>
  <c r="O44" i="3"/>
  <c r="N44" i="3"/>
  <c r="M44" i="3"/>
  <c r="L44" i="3"/>
  <c r="K44" i="3"/>
  <c r="Q43" i="3"/>
  <c r="Q42" i="3"/>
  <c r="Q41" i="3"/>
  <c r="Q40" i="3"/>
  <c r="J44" i="3"/>
  <c r="F44" i="3"/>
  <c r="Q39" i="3"/>
  <c r="Q38" i="3"/>
  <c r="I44" i="3"/>
  <c r="H44" i="3"/>
  <c r="G44" i="3"/>
  <c r="E44" i="3"/>
  <c r="D44" i="3"/>
  <c r="Q37" i="3"/>
  <c r="S45" i="3"/>
  <c r="Q18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Q8" i="3"/>
  <c r="Q7" i="3"/>
  <c r="Q6" i="3"/>
  <c r="Q5" i="3"/>
  <c r="Q4" i="3"/>
  <c r="Q3" i="3"/>
  <c r="Q2" i="3"/>
  <c r="Q29" i="7" l="1"/>
  <c r="J14" i="3"/>
  <c r="J19" i="3"/>
  <c r="J20" i="3" s="1"/>
  <c r="F14" i="3"/>
  <c r="F19" i="3"/>
  <c r="F20" i="3" s="1"/>
  <c r="G19" i="3"/>
  <c r="G20" i="3" s="1"/>
  <c r="G14" i="3"/>
  <c r="E14" i="3"/>
  <c r="E15" i="3" s="1"/>
  <c r="E16" i="3" s="1"/>
  <c r="E32" i="3" s="1"/>
  <c r="E19" i="3"/>
  <c r="E20" i="3" s="1"/>
  <c r="C19" i="3"/>
  <c r="C20" i="3" s="1"/>
  <c r="C14" i="3"/>
  <c r="D13" i="3"/>
  <c r="E13" i="3"/>
  <c r="I14" i="3"/>
  <c r="I19" i="3"/>
  <c r="I20" i="3" s="1"/>
  <c r="F13" i="3"/>
  <c r="H19" i="3"/>
  <c r="H20" i="3" s="1"/>
  <c r="H14" i="3"/>
  <c r="D19" i="3"/>
  <c r="D20" i="3" s="1"/>
  <c r="D14" i="3"/>
  <c r="T45" i="3"/>
  <c r="U45" i="3" s="1"/>
  <c r="V45" i="3" s="1"/>
  <c r="W45" i="3" s="1"/>
  <c r="C28" i="5"/>
  <c r="C29" i="5"/>
  <c r="H29" i="5" s="1"/>
  <c r="F34" i="5"/>
  <c r="H27" i="5"/>
  <c r="C30" i="5"/>
  <c r="H30" i="5" s="1"/>
  <c r="C26" i="5"/>
  <c r="H26" i="5" s="1"/>
  <c r="C25" i="5"/>
  <c r="H19" i="5"/>
  <c r="H28" i="5"/>
  <c r="G34" i="5"/>
  <c r="D34" i="5"/>
  <c r="E34" i="5"/>
  <c r="F34" i="4"/>
  <c r="J34" i="4"/>
  <c r="I34" i="4"/>
  <c r="E27" i="4"/>
  <c r="E29" i="4"/>
  <c r="E25" i="4"/>
  <c r="E26" i="4"/>
  <c r="E28" i="4"/>
  <c r="E30" i="4"/>
  <c r="G19" i="4"/>
  <c r="C19" i="4"/>
  <c r="H19" i="4"/>
  <c r="D19" i="4"/>
  <c r="Q44" i="3"/>
  <c r="C44" i="3"/>
  <c r="Q12" i="3"/>
  <c r="Q23" i="2"/>
  <c r="Q24" i="2"/>
  <c r="Q25" i="2"/>
  <c r="Q26" i="2"/>
  <c r="Q27" i="2"/>
  <c r="Q28" i="2"/>
  <c r="Q22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F17" i="2"/>
  <c r="F18" i="2" s="1"/>
  <c r="E17" i="2"/>
  <c r="E18" i="2" s="1"/>
  <c r="D17" i="2"/>
  <c r="D18" i="2" s="1"/>
  <c r="C17" i="2"/>
  <c r="C18" i="2" s="1"/>
  <c r="Q16" i="2"/>
  <c r="Q17" i="2" s="1"/>
  <c r="Q18" i="2" s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9" i="2"/>
  <c r="Q8" i="2"/>
  <c r="Q7" i="2"/>
  <c r="Q6" i="2"/>
  <c r="Q5" i="2"/>
  <c r="Q4" i="2"/>
  <c r="Q3" i="2"/>
  <c r="E30" i="3" l="1"/>
  <c r="E28" i="3"/>
  <c r="E31" i="3"/>
  <c r="E29" i="3"/>
  <c r="E27" i="3"/>
  <c r="D15" i="3"/>
  <c r="D16" i="3" s="1"/>
  <c r="D29" i="3" s="1"/>
  <c r="J13" i="3"/>
  <c r="J15" i="3" s="1"/>
  <c r="J16" i="3" s="1"/>
  <c r="I13" i="3"/>
  <c r="I15" i="3" s="1"/>
  <c r="I16" i="3" s="1"/>
  <c r="Q20" i="3"/>
  <c r="E26" i="3"/>
  <c r="Q29" i="2"/>
  <c r="C13" i="3"/>
  <c r="H13" i="3"/>
  <c r="H15" i="3" s="1"/>
  <c r="H16" i="3" s="1"/>
  <c r="Q14" i="3"/>
  <c r="F15" i="3"/>
  <c r="F16" i="3" s="1"/>
  <c r="G13" i="3"/>
  <c r="G15" i="3" s="1"/>
  <c r="G16" i="3" s="1"/>
  <c r="C34" i="5"/>
  <c r="H34" i="5" s="1"/>
  <c r="H25" i="5"/>
  <c r="H33" i="5" s="1"/>
  <c r="G26" i="4"/>
  <c r="G28" i="4"/>
  <c r="G30" i="4"/>
  <c r="G27" i="4"/>
  <c r="G29" i="4"/>
  <c r="G25" i="4"/>
  <c r="H26" i="4"/>
  <c r="H28" i="4"/>
  <c r="H30" i="4"/>
  <c r="H27" i="4"/>
  <c r="H29" i="4"/>
  <c r="H25" i="4"/>
  <c r="E34" i="4"/>
  <c r="D29" i="4"/>
  <c r="D26" i="4"/>
  <c r="D28" i="4"/>
  <c r="D27" i="4"/>
  <c r="D25" i="4"/>
  <c r="D30" i="4"/>
  <c r="C25" i="4"/>
  <c r="C26" i="4"/>
  <c r="C27" i="4"/>
  <c r="C28" i="4"/>
  <c r="C29" i="4"/>
  <c r="C30" i="4"/>
  <c r="K19" i="4"/>
  <c r="Q13" i="2"/>
  <c r="U31" i="1"/>
  <c r="T32" i="1"/>
  <c r="D17" i="1"/>
  <c r="D18" i="1" s="1"/>
  <c r="D29" i="1" s="1"/>
  <c r="E17" i="1"/>
  <c r="E18" i="1" s="1"/>
  <c r="E27" i="1" s="1"/>
  <c r="F17" i="1"/>
  <c r="F18" i="1" s="1"/>
  <c r="F31" i="1" s="1"/>
  <c r="G17" i="1"/>
  <c r="G18" i="1" s="1"/>
  <c r="G25" i="1" s="1"/>
  <c r="H17" i="1"/>
  <c r="H18" i="1" s="1"/>
  <c r="H29" i="1" s="1"/>
  <c r="H32" i="1" s="1"/>
  <c r="I17" i="1"/>
  <c r="I18" i="1" s="1"/>
  <c r="I29" i="1" s="1"/>
  <c r="I32" i="1" s="1"/>
  <c r="J17" i="1"/>
  <c r="J18" i="1" s="1"/>
  <c r="J28" i="1" s="1"/>
  <c r="K17" i="1"/>
  <c r="K18" i="1" s="1"/>
  <c r="K30" i="1" s="1"/>
  <c r="K32" i="1" s="1"/>
  <c r="L17" i="1"/>
  <c r="L18" i="1" s="1"/>
  <c r="L22" i="1" s="1"/>
  <c r="M17" i="1"/>
  <c r="M18" i="1" s="1"/>
  <c r="M26" i="1" s="1"/>
  <c r="M32" i="1" s="1"/>
  <c r="N17" i="1"/>
  <c r="N18" i="1" s="1"/>
  <c r="N25" i="1" s="1"/>
  <c r="N32" i="1" s="1"/>
  <c r="O17" i="1"/>
  <c r="O18" i="1" s="1"/>
  <c r="O29" i="1" s="1"/>
  <c r="O32" i="1" s="1"/>
  <c r="P17" i="1"/>
  <c r="P18" i="1" s="1"/>
  <c r="P24" i="1" s="1"/>
  <c r="Q16" i="1"/>
  <c r="Q17" i="1" s="1"/>
  <c r="Q18" i="1" s="1"/>
  <c r="C17" i="1"/>
  <c r="C18" i="1" s="1"/>
  <c r="Q4" i="1"/>
  <c r="Q5" i="1"/>
  <c r="Q6" i="1"/>
  <c r="Q7" i="1"/>
  <c r="Q8" i="1"/>
  <c r="Q9" i="1"/>
  <c r="Q10" i="1"/>
  <c r="Q11" i="1"/>
  <c r="Q12" i="1"/>
  <c r="Q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3" i="1"/>
  <c r="C31" i="1" l="1"/>
  <c r="C22" i="1"/>
  <c r="Q13" i="3"/>
  <c r="S14" i="3" s="1"/>
  <c r="E33" i="3"/>
  <c r="D27" i="1"/>
  <c r="D32" i="1" s="1"/>
  <c r="D27" i="3"/>
  <c r="C27" i="1"/>
  <c r="D26" i="3"/>
  <c r="D30" i="3"/>
  <c r="D31" i="3"/>
  <c r="D32" i="3"/>
  <c r="D28" i="3"/>
  <c r="C15" i="3"/>
  <c r="Q15" i="3" s="1"/>
  <c r="H27" i="3"/>
  <c r="H29" i="3"/>
  <c r="H31" i="3"/>
  <c r="H30" i="3"/>
  <c r="H32" i="3"/>
  <c r="H26" i="3"/>
  <c r="H28" i="3"/>
  <c r="F29" i="3"/>
  <c r="F32" i="3"/>
  <c r="F30" i="3"/>
  <c r="F28" i="3"/>
  <c r="F27" i="3"/>
  <c r="F26" i="3"/>
  <c r="F31" i="3"/>
  <c r="I31" i="3"/>
  <c r="I26" i="3"/>
  <c r="I28" i="3"/>
  <c r="I30" i="3"/>
  <c r="I32" i="3"/>
  <c r="I27" i="3"/>
  <c r="I29" i="3"/>
  <c r="J31" i="3"/>
  <c r="J29" i="3"/>
  <c r="J28" i="3"/>
  <c r="J30" i="3"/>
  <c r="J32" i="3"/>
  <c r="J27" i="3"/>
  <c r="J26" i="3"/>
  <c r="K29" i="4"/>
  <c r="G31" i="3"/>
  <c r="G29" i="3"/>
  <c r="G26" i="3"/>
  <c r="G30" i="3"/>
  <c r="G28" i="3"/>
  <c r="G27" i="3"/>
  <c r="G32" i="3"/>
  <c r="F27" i="1"/>
  <c r="K27" i="4"/>
  <c r="D34" i="4"/>
  <c r="K26" i="4"/>
  <c r="K28" i="4"/>
  <c r="H34" i="4"/>
  <c r="K30" i="4"/>
  <c r="G34" i="4"/>
  <c r="C34" i="4"/>
  <c r="K25" i="4"/>
  <c r="Q28" i="1"/>
  <c r="J32" i="1"/>
  <c r="G32" i="1"/>
  <c r="Q25" i="1"/>
  <c r="C23" i="1"/>
  <c r="Q22" i="1"/>
  <c r="F29" i="1"/>
  <c r="F26" i="1"/>
  <c r="Q26" i="1" s="1"/>
  <c r="F30" i="1"/>
  <c r="Q30" i="1" s="1"/>
  <c r="F24" i="1"/>
  <c r="Q24" i="1" s="1"/>
  <c r="P31" i="1"/>
  <c r="P29" i="1"/>
  <c r="P27" i="1"/>
  <c r="L23" i="1"/>
  <c r="L32" i="1" s="1"/>
  <c r="E32" i="1"/>
  <c r="Q13" i="1"/>
  <c r="C16" i="3" l="1"/>
  <c r="C31" i="3" s="1"/>
  <c r="Q31" i="3" s="1"/>
  <c r="J33" i="3"/>
  <c r="D33" i="3"/>
  <c r="I33" i="3"/>
  <c r="C26" i="3"/>
  <c r="L27" i="4"/>
  <c r="M27" i="4" s="1"/>
  <c r="L26" i="4"/>
  <c r="K33" i="4"/>
  <c r="L30" i="4"/>
  <c r="M30" i="4" s="1"/>
  <c r="L28" i="4"/>
  <c r="M28" i="4" s="1"/>
  <c r="L29" i="4"/>
  <c r="M29" i="4" s="1"/>
  <c r="H33" i="3"/>
  <c r="G33" i="3"/>
  <c r="Q29" i="1"/>
  <c r="F33" i="3"/>
  <c r="K34" i="4"/>
  <c r="F32" i="1"/>
  <c r="Q27" i="1"/>
  <c r="P32" i="1"/>
  <c r="Q31" i="1"/>
  <c r="R29" i="1" s="1"/>
  <c r="Q23" i="1"/>
  <c r="C32" i="1"/>
  <c r="C27" i="3" l="1"/>
  <c r="Q27" i="3" s="1"/>
  <c r="C30" i="3"/>
  <c r="Q30" i="3" s="1"/>
  <c r="C32" i="3"/>
  <c r="Q32" i="3" s="1"/>
  <c r="C29" i="3"/>
  <c r="Q29" i="3" s="1"/>
  <c r="C28" i="3"/>
  <c r="Q28" i="3" s="1"/>
  <c r="S29" i="1"/>
  <c r="U29" i="1" s="1"/>
  <c r="L34" i="4"/>
  <c r="Q26" i="3"/>
  <c r="M26" i="4"/>
  <c r="M34" i="4" s="1"/>
  <c r="R26" i="1"/>
  <c r="S26" i="1" s="1"/>
  <c r="U26" i="1" s="1"/>
  <c r="R31" i="1"/>
  <c r="R25" i="1"/>
  <c r="S25" i="1" s="1"/>
  <c r="U25" i="1" s="1"/>
  <c r="Q32" i="1"/>
  <c r="R22" i="1"/>
  <c r="S22" i="1" s="1"/>
  <c r="U22" i="1" s="1"/>
  <c r="R27" i="1"/>
  <c r="S27" i="1" s="1"/>
  <c r="U27" i="1" s="1"/>
  <c r="R28" i="1"/>
  <c r="S28" i="1" s="1"/>
  <c r="U28" i="1" s="1"/>
  <c r="R30" i="1"/>
  <c r="S30" i="1" s="1"/>
  <c r="U30" i="1" s="1"/>
  <c r="R24" i="1"/>
  <c r="S24" i="1" s="1"/>
  <c r="U24" i="1" s="1"/>
  <c r="R23" i="1"/>
  <c r="S23" i="1" s="1"/>
  <c r="U23" i="1" s="1"/>
  <c r="C33" i="3" l="1"/>
  <c r="Q33" i="3" s="1"/>
  <c r="S32" i="1"/>
  <c r="U32" i="1" s="1"/>
  <c r="Q28" i="11" l="1"/>
  <c r="R28" i="11" s="1"/>
  <c r="Q23" i="11"/>
  <c r="R23" i="11" s="1"/>
  <c r="Q27" i="11"/>
  <c r="R27" i="11" s="1"/>
  <c r="Q24" i="11"/>
  <c r="R24" i="11" s="1"/>
  <c r="Q25" i="11"/>
  <c r="R25" i="11" s="1"/>
  <c r="Q26" i="11"/>
  <c r="R26" i="11" s="1"/>
  <c r="P32" i="11"/>
  <c r="Q32" i="11" s="1"/>
  <c r="Q22" i="11"/>
  <c r="R22" i="11" s="1"/>
  <c r="R32" i="11" l="1"/>
  <c r="C9" i="21"/>
  <c r="L9" i="21" s="1"/>
  <c r="C19" i="21"/>
  <c r="L19" i="21" l="1"/>
  <c r="Q19" i="21" s="1"/>
  <c r="Q25" i="21" s="1"/>
  <c r="C25" i="21"/>
  <c r="P19" i="21" l="1"/>
  <c r="P25" i="21" s="1"/>
  <c r="L25" i="21"/>
  <c r="K23" i="19"/>
  <c r="K21" i="19"/>
  <c r="K20" i="19"/>
  <c r="K19" i="19"/>
  <c r="K18" i="19"/>
  <c r="K22" i="19"/>
</calcChain>
</file>

<file path=xl/sharedStrings.xml><?xml version="1.0" encoding="utf-8"?>
<sst xmlns="http://schemas.openxmlformats.org/spreadsheetml/2006/main" count="1417" uniqueCount="279">
  <si>
    <t>Ahmed</t>
  </si>
  <si>
    <t>Ajwad</t>
  </si>
  <si>
    <t>Ammar</t>
  </si>
  <si>
    <t>Anil</t>
  </si>
  <si>
    <t>Ayesha</t>
  </si>
  <si>
    <t>Hassam</t>
  </si>
  <si>
    <t>Sara</t>
  </si>
  <si>
    <t>Sidra</t>
  </si>
  <si>
    <t>Waseem</t>
  </si>
  <si>
    <t>Nasr</t>
  </si>
  <si>
    <t>Coke</t>
  </si>
  <si>
    <t>Fresh Lime</t>
  </si>
  <si>
    <t>Pina Colada</t>
  </si>
  <si>
    <t>Seasonal Juice</t>
  </si>
  <si>
    <t>Mint Margarita</t>
  </si>
  <si>
    <t>Chicken Nuggets &amp; Fries</t>
  </si>
  <si>
    <t>Fettucine Alfredo</t>
  </si>
  <si>
    <t>Francos Special Parmo</t>
  </si>
  <si>
    <t>Farncos Special Chicken</t>
  </si>
  <si>
    <t>Grilled Chicken Tarragon</t>
  </si>
  <si>
    <t>Mexican Amigo Special Chicken</t>
  </si>
  <si>
    <t>Mongolain Beef</t>
  </si>
  <si>
    <t>Drinks</t>
  </si>
  <si>
    <t>Food</t>
  </si>
  <si>
    <t>People</t>
  </si>
  <si>
    <t>NCRI</t>
  </si>
  <si>
    <t>Total</t>
  </si>
  <si>
    <t>Mineral Water</t>
  </si>
  <si>
    <t>Tarragon Steak</t>
  </si>
  <si>
    <t>Tax</t>
  </si>
  <si>
    <t>Price</t>
  </si>
  <si>
    <t>Tax Amt</t>
  </si>
  <si>
    <t>Tax Price</t>
  </si>
  <si>
    <t>Sharing Waseem Total</t>
  </si>
  <si>
    <t>Grand Total to Pay</t>
  </si>
  <si>
    <t>Received</t>
  </si>
  <si>
    <t>Extra Cash</t>
  </si>
  <si>
    <t>Water</t>
  </si>
  <si>
    <t>Pomegranate</t>
  </si>
  <si>
    <t>Blue Lady</t>
  </si>
  <si>
    <t>Column1</t>
  </si>
  <si>
    <t>Column2</t>
  </si>
  <si>
    <t>-</t>
  </si>
  <si>
    <t>-2</t>
  </si>
  <si>
    <t>BBQ Platter 2</t>
  </si>
  <si>
    <t>Baklava Platter</t>
  </si>
  <si>
    <t>Lamb Shank</t>
  </si>
  <si>
    <t>Doner Platter Chicken</t>
  </si>
  <si>
    <t>Doner Platter Mix</t>
  </si>
  <si>
    <t>Column3</t>
  </si>
  <si>
    <t>Card Tea</t>
  </si>
  <si>
    <t>Butter Scotch</t>
  </si>
  <si>
    <t>Tiramisu</t>
  </si>
  <si>
    <t>Cappucino</t>
  </si>
  <si>
    <t>Chocolate swiss</t>
  </si>
  <si>
    <t>Ice cream</t>
  </si>
  <si>
    <t>Ganache Brownie</t>
  </si>
  <si>
    <t>Caramel Latte</t>
  </si>
  <si>
    <t>Column4</t>
  </si>
  <si>
    <t>Column5</t>
  </si>
  <si>
    <t>Column6</t>
  </si>
  <si>
    <t>Rebate</t>
  </si>
  <si>
    <t>r Price</t>
  </si>
  <si>
    <t>Column7</t>
  </si>
  <si>
    <t>Musa</t>
  </si>
  <si>
    <t>Chicken Nacho</t>
  </si>
  <si>
    <t>Club House</t>
  </si>
  <si>
    <t>Chk Pesto</t>
  </si>
  <si>
    <t>Blueberry drink</t>
  </si>
  <si>
    <t>Pepso</t>
  </si>
  <si>
    <t>7up</t>
  </si>
  <si>
    <t>Fudge Cake</t>
  </si>
  <si>
    <t>Ahmed cont</t>
  </si>
  <si>
    <t>New Total</t>
  </si>
  <si>
    <t>Qasim</t>
  </si>
  <si>
    <t>tomato pasta</t>
  </si>
  <si>
    <t>steak</t>
  </si>
  <si>
    <t>ammar</t>
  </si>
  <si>
    <t>Ceasar salad</t>
  </si>
  <si>
    <t>Mushroom pasta</t>
  </si>
  <si>
    <t>Club Sandwich</t>
  </si>
  <si>
    <t>Mehak</t>
  </si>
  <si>
    <t>Full Chicken</t>
  </si>
  <si>
    <t>Fanta</t>
  </si>
  <si>
    <t>Madeira Red</t>
  </si>
  <si>
    <t>Peri Bites</t>
  </si>
  <si>
    <t>Espetada carnival</t>
  </si>
  <si>
    <t>Espetada</t>
  </si>
  <si>
    <t>Peri chk Skewers</t>
  </si>
  <si>
    <t>Sitara</t>
  </si>
  <si>
    <t>Rubab</t>
  </si>
  <si>
    <t>Diet coke</t>
  </si>
  <si>
    <t>Grilled Chicken</t>
  </si>
  <si>
    <t>Hi tea Platter</t>
  </si>
  <si>
    <t>Discount</t>
  </si>
  <si>
    <t>Dis TOTAL</t>
  </si>
  <si>
    <t>Strawberry shake</t>
  </si>
  <si>
    <t>Iftaar platter</t>
  </si>
  <si>
    <t>Service chg</t>
  </si>
  <si>
    <t>Hamza</t>
  </si>
  <si>
    <t>Sprite</t>
  </si>
  <si>
    <t>Iftaar</t>
  </si>
  <si>
    <t>Service Charges</t>
  </si>
  <si>
    <t>D Coke</t>
  </si>
  <si>
    <t>Hell fir chicken</t>
  </si>
  <si>
    <t>Chicken Chilli dry</t>
  </si>
  <si>
    <t>Rice Bowl</t>
  </si>
  <si>
    <t>Classic American burger</t>
  </si>
  <si>
    <t>Rodeo Fries</t>
  </si>
  <si>
    <t>Uma Rubab</t>
  </si>
  <si>
    <t>Strawberry cheese cake</t>
  </si>
  <si>
    <t>To pay</t>
  </si>
  <si>
    <t>GOT</t>
  </si>
  <si>
    <t>Mahek</t>
  </si>
  <si>
    <t>Diet Coke</t>
  </si>
  <si>
    <t>Traditional Wings</t>
  </si>
  <si>
    <t>Value Meal</t>
  </si>
  <si>
    <t>Chicken chilli dry</t>
  </si>
  <si>
    <t>Mushroom Beef Steak</t>
  </si>
  <si>
    <t>Beef Chili Dry</t>
  </si>
  <si>
    <t>Plain Fries</t>
  </si>
  <si>
    <t>Total2</t>
  </si>
  <si>
    <t>Sharing Sitara Total</t>
  </si>
  <si>
    <t>Dis Amount</t>
  </si>
  <si>
    <t>Total Price</t>
  </si>
  <si>
    <t>Sonia</t>
  </si>
  <si>
    <t>Fatima</t>
  </si>
  <si>
    <t>Pepsi</t>
  </si>
  <si>
    <t>Mirinda</t>
  </si>
  <si>
    <t>Redbull</t>
  </si>
  <si>
    <t>Honey Barbq</t>
  </si>
  <si>
    <t>parmesan pasta</t>
  </si>
  <si>
    <t>mozzarella burger</t>
  </si>
  <si>
    <t>kungpao chicken</t>
  </si>
  <si>
    <t>chicken chilli</t>
  </si>
  <si>
    <t>crunchy burger</t>
  </si>
  <si>
    <t>teriyaki chicken</t>
  </si>
  <si>
    <t>Hamza Sharing Total</t>
  </si>
  <si>
    <t>Service charges</t>
  </si>
  <si>
    <t>Ijaz</t>
  </si>
  <si>
    <t>Eizza</t>
  </si>
  <si>
    <t>Arabian box</t>
  </si>
  <si>
    <t>Mexican wrap</t>
  </si>
  <si>
    <t>Chicken wrap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</si>
  <si>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</si>
  <si>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</si>
  <si>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</si>
  <si>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</si>
  <si>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</si>
  <si>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</si>
  <si>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</si>
  <si>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</si>
  <si>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</si>
  <si>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delivery</t>
  </si>
  <si>
    <t>COKE</t>
  </si>
  <si>
    <t>SPRITE</t>
  </si>
  <si>
    <t>STRBRY</t>
  </si>
  <si>
    <t>BEEF CHILLI</t>
  </si>
  <si>
    <t>CHKN CHILLI</t>
  </si>
  <si>
    <t xml:space="preserve">MUSHRM CHKN </t>
  </si>
  <si>
    <t>PARMSN CHKN</t>
  </si>
  <si>
    <t>BIG ZNG BRGR</t>
  </si>
  <si>
    <t>TRD WINGS</t>
  </si>
  <si>
    <t>GRLL SNDWCH</t>
  </si>
  <si>
    <t>Column12</t>
  </si>
  <si>
    <t>Mehak Sharing Total</t>
  </si>
  <si>
    <t>Fatima Mehboob</t>
  </si>
  <si>
    <t>Ummar</t>
  </si>
  <si>
    <t>Shake</t>
  </si>
  <si>
    <t>0</t>
  </si>
  <si>
    <t>02</t>
  </si>
  <si>
    <t>Fries</t>
  </si>
  <si>
    <t>Nachos</t>
  </si>
  <si>
    <t>Chkn Chilli dry</t>
  </si>
  <si>
    <t>Kung pao</t>
  </si>
  <si>
    <t>TIP</t>
  </si>
  <si>
    <t>Name</t>
  </si>
  <si>
    <t>Shoohira</t>
  </si>
  <si>
    <t>Zunair</t>
  </si>
  <si>
    <t>Anwaar</t>
  </si>
  <si>
    <t>Hammad</t>
  </si>
  <si>
    <t>Saeed</t>
  </si>
  <si>
    <t>Ticket</t>
  </si>
  <si>
    <t>Chapli Kebab</t>
  </si>
  <si>
    <t>Bannu Pulao</t>
  </si>
  <si>
    <t>Quantity</t>
  </si>
  <si>
    <t>Jalebi</t>
  </si>
  <si>
    <t>Gulab jaman</t>
  </si>
  <si>
    <t>Chai</t>
  </si>
  <si>
    <t>Gol Gappy</t>
  </si>
  <si>
    <t>Saag</t>
  </si>
  <si>
    <t>Each</t>
  </si>
  <si>
    <t>TOTAL</t>
  </si>
  <si>
    <t>Haroon</t>
  </si>
  <si>
    <t>MISC</t>
  </si>
  <si>
    <t>TOTAL PAID</t>
  </si>
  <si>
    <t>TOTAL OWING</t>
  </si>
  <si>
    <t>To Be Paid</t>
  </si>
  <si>
    <t>PAID</t>
  </si>
  <si>
    <t>Doodh Patti</t>
  </si>
  <si>
    <t>Kaghina</t>
  </si>
  <si>
    <t>Paratha</t>
  </si>
  <si>
    <t>CHK Qeema</t>
  </si>
  <si>
    <t>Beef Qeema</t>
  </si>
  <si>
    <t>Crossant</t>
  </si>
  <si>
    <t>Aloo Paratha</t>
  </si>
  <si>
    <t>Kebab</t>
  </si>
  <si>
    <t>Item</t>
  </si>
  <si>
    <t>Total Cost</t>
  </si>
  <si>
    <t>Price / Unit</t>
  </si>
  <si>
    <t>Naan</t>
  </si>
  <si>
    <t>Cost</t>
  </si>
  <si>
    <t>IT</t>
  </si>
  <si>
    <t>Hammad IT</t>
  </si>
  <si>
    <t>Collection</t>
  </si>
  <si>
    <t>Marketing</t>
  </si>
  <si>
    <t>Umayma</t>
  </si>
  <si>
    <t>Ahsan</t>
  </si>
  <si>
    <t>Price / Person</t>
  </si>
  <si>
    <t>Paid</t>
  </si>
  <si>
    <t>Take/Return</t>
  </si>
  <si>
    <t>Mobeen &amp; Aisha</t>
  </si>
  <si>
    <t>Azeem Fatima</t>
  </si>
  <si>
    <t>Balance</t>
  </si>
  <si>
    <t>Fresh lime</t>
  </si>
  <si>
    <t>Pine Light</t>
  </si>
  <si>
    <t>Lychee Blast</t>
  </si>
  <si>
    <t>Smoke House</t>
  </si>
  <si>
    <t>Ala Keiv</t>
  </si>
  <si>
    <t>Taragon Chk</t>
  </si>
  <si>
    <t>Wild Mushroom</t>
  </si>
  <si>
    <t>Outback fire steak</t>
  </si>
  <si>
    <t>Fish n Chips</t>
  </si>
  <si>
    <t>TAX</t>
  </si>
  <si>
    <t>Grand Total</t>
  </si>
  <si>
    <t>BarBQ Platter</t>
  </si>
  <si>
    <t>Doner</t>
  </si>
  <si>
    <t>Drink</t>
  </si>
  <si>
    <t>Beef Noodle</t>
  </si>
  <si>
    <t>Steamed noodle</t>
  </si>
  <si>
    <t>Dumpling</t>
  </si>
  <si>
    <t>Tea</t>
  </si>
  <si>
    <t>Soup</t>
  </si>
  <si>
    <t>Combo</t>
  </si>
  <si>
    <t>Taimoor</t>
  </si>
  <si>
    <t>Fatima Farooq</t>
  </si>
  <si>
    <t>Huzaifa</t>
  </si>
  <si>
    <t>Mobeen</t>
  </si>
  <si>
    <t>H20</t>
  </si>
  <si>
    <t>7UP</t>
  </si>
  <si>
    <t>FreshLime</t>
  </si>
  <si>
    <t>Mint margarita</t>
  </si>
  <si>
    <t>Beef Burger</t>
  </si>
  <si>
    <t>Platter</t>
  </si>
  <si>
    <t>Mushroom Steak</t>
  </si>
  <si>
    <t>Mushroom Chicken</t>
  </si>
  <si>
    <t>Taraggon Chicken</t>
  </si>
  <si>
    <t>Twin Steak</t>
  </si>
  <si>
    <t>Shoohira Sharing Total</t>
  </si>
  <si>
    <t>Beef Burger2</t>
  </si>
  <si>
    <t>Frecnh Burger</t>
  </si>
  <si>
    <t>Tip</t>
  </si>
  <si>
    <t>Indrive</t>
  </si>
  <si>
    <t>Grand Total Food</t>
  </si>
  <si>
    <t>Tarragon Chicken</t>
  </si>
  <si>
    <t>Crunch Sandwich</t>
  </si>
  <si>
    <t>Blue Colada</t>
  </si>
  <si>
    <t>Orange Colada</t>
  </si>
  <si>
    <t>Waheed</t>
  </si>
  <si>
    <t>Ahsan Saeed</t>
  </si>
  <si>
    <t>Azeem</t>
  </si>
  <si>
    <t>Ayesha Sid</t>
  </si>
  <si>
    <t>Mushroom Chk</t>
  </si>
  <si>
    <t>Florida Beef Burger</t>
  </si>
  <si>
    <t>Mushroon Steak</t>
  </si>
  <si>
    <t>Cowboy Steak</t>
  </si>
  <si>
    <t>Pltr 1</t>
  </si>
  <si>
    <t>Parmesan chk</t>
  </si>
  <si>
    <t>Sharing Nasr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</si>
</sst>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5" fillId="13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10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0" fontId="0" fillId="7" borderId="0" xfId="0" applyFill="1" applyAlignment="1">
      <alignment horizontal="center" vertical="center" wrapText="1"/>
    </xf>
    <xf numFmtId="2" fontId="4" fillId="7" borderId="0" xfId="0" applyNumberFormat="1" applyFont="1" applyFill="1"/>
    <xf numFmtId="0" fontId="5" fillId="5" borderId="0" xfId="4"/>
    <xf numFmtId="0" fontId="5" fillId="6" borderId="0" xfId="5"/>
    <xf numFmtId="2" fontId="5" fillId="6" borderId="0" xfId="5" applyNumberFormat="1"/>
    <xf numFmtId="0" fontId="5" fillId="8" borderId="0" xfId="6"/>
    <xf numFmtId="0" fontId="0" fillId="9" borderId="1" xfId="0" applyFont="1" applyFill="1" applyBorder="1"/>
    <xf numFmtId="0" fontId="0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9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6" fillId="0" borderId="0" xfId="0" applyNumberFormat="1" applyFont="1"/>
    <xf numFmtId="2" fontId="5" fillId="8" borderId="0" xfId="6" applyNumberFormat="1"/>
    <xf numFmtId="2" fontId="1" fillId="2" borderId="3" xfId="1" applyNumberFormat="1" applyBorder="1"/>
    <xf numFmtId="2" fontId="7" fillId="2" borderId="3" xfId="1" applyNumberFormat="1" applyFont="1" applyBorder="1"/>
    <xf numFmtId="0" fontId="7" fillId="2" borderId="3" xfId="1" applyFont="1" applyBorder="1" applyAlignment="1">
      <alignment horizontal="center" vertical="center" wrapText="1"/>
    </xf>
    <xf numFmtId="0" fontId="7" fillId="2" borderId="3" xfId="1" applyFont="1" applyBorder="1"/>
    <xf numFmtId="0" fontId="1" fillId="2" borderId="0" xfId="1" applyAlignment="1"/>
    <xf numFmtId="1" fontId="0" fillId="0" borderId="0" xfId="0" applyNumberFormat="1"/>
    <xf numFmtId="1" fontId="4" fillId="0" borderId="0" xfId="0" applyNumberFormat="1" applyFont="1"/>
    <xf numFmtId="0" fontId="5" fillId="4" borderId="0" xfId="3" applyAlignment="1"/>
    <xf numFmtId="2" fontId="3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4" fillId="0" borderId="0" xfId="0" applyNumberFormat="1" applyFont="1"/>
    <xf numFmtId="2" fontId="8" fillId="0" borderId="0" xfId="0" applyNumberFormat="1" applyFont="1"/>
    <xf numFmtId="165" fontId="5" fillId="8" borderId="0" xfId="6" applyNumberFormat="1"/>
    <xf numFmtId="0" fontId="2" fillId="3" borderId="0" xfId="2"/>
    <xf numFmtId="0" fontId="1" fillId="2" borderId="0" xfId="1"/>
    <xf numFmtId="0" fontId="5" fillId="13" borderId="0" xfId="10"/>
    <xf numFmtId="0" fontId="9" fillId="12" borderId="0" xfId="9"/>
    <xf numFmtId="0" fontId="9" fillId="11" borderId="0" xfId="8"/>
    <xf numFmtId="0" fontId="5" fillId="10" borderId="0" xfId="7"/>
    <xf numFmtId="0" fontId="0" fillId="12" borderId="0" xfId="9" applyFont="1"/>
    <xf numFmtId="0" fontId="0" fillId="11" borderId="0" xfId="8" applyFont="1"/>
    <xf numFmtId="0" fontId="0" fillId="14" borderId="0" xfId="0" applyFill="1"/>
    <xf numFmtId="0" fontId="10" fillId="8" borderId="0" xfId="6" applyFont="1"/>
    <xf numFmtId="0" fontId="9" fillId="8" borderId="0" xfId="6" applyFont="1"/>
    <xf numFmtId="0" fontId="4" fillId="8" borderId="3" xfId="6" applyFont="1" applyBorder="1"/>
    <xf numFmtId="0" fontId="0" fillId="15" borderId="4" xfId="0" applyFont="1" applyFill="1" applyBorder="1"/>
    <xf numFmtId="0" fontId="0" fillId="0" borderId="0" xfId="0" applyBorder="1"/>
    <xf numFmtId="0" fontId="11" fillId="15" borderId="5" xfId="0" applyFont="1" applyFill="1" applyBorder="1"/>
    <xf numFmtId="0" fontId="2" fillId="3" borderId="0" xfId="2" applyAlignment="1">
      <alignment vertical="center"/>
    </xf>
    <xf numFmtId="2" fontId="0" fillId="0" borderId="0" xfId="0" applyNumberFormat="1" applyFont="1"/>
    <xf numFmtId="0" fontId="3" fillId="3" borderId="0" xfId="2" applyFont="1" applyAlignment="1">
      <alignment vertical="center"/>
    </xf>
    <xf numFmtId="1" fontId="0" fillId="0" borderId="0" xfId="0" applyNumberFormat="1" applyFont="1"/>
    <xf numFmtId="1" fontId="4" fillId="7" borderId="0" xfId="0" applyNumberFormat="1" applyFont="1" applyFill="1"/>
    <xf numFmtId="0" fontId="4" fillId="9" borderId="1" xfId="0" applyFont="1" applyFill="1" applyBorder="1"/>
    <xf numFmtId="0" fontId="4" fillId="0" borderId="1" xfId="0" applyFont="1" applyBorder="1"/>
    <xf numFmtId="1" fontId="3" fillId="0" borderId="0" xfId="0" applyNumberFormat="1" applyFont="1"/>
    <xf numFmtId="1" fontId="3" fillId="0" borderId="1" xfId="0" applyNumberFormat="1" applyFont="1" applyBorder="1"/>
    <xf numFmtId="0" fontId="4" fillId="7" borderId="0" xfId="0" applyFont="1" applyFill="1" applyAlignment="1">
      <alignment horizontal="center" vertical="center" wrapText="1"/>
    </xf>
    <xf numFmtId="0" fontId="5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 vertical="center"/>
    </xf>
    <xf numFmtId="2" fontId="0" fillId="9" borderId="1" xfId="0" applyNumberFormat="1" applyFont="1" applyFill="1" applyBorder="1"/>
    <xf numFmtId="2" fontId="4" fillId="9" borderId="1" xfId="0" applyNumberFormat="1" applyFont="1" applyFill="1" applyBorder="1"/>
    <xf numFmtId="0" fontId="8" fillId="0" borderId="0" xfId="0" applyFont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1" fontId="0" fillId="7" borderId="0" xfId="0" applyNumberFormat="1" applyFill="1"/>
    <xf numFmtId="1" fontId="0" fillId="7" borderId="1" xfId="0" applyNumberFormat="1" applyFont="1" applyFill="1" applyBorder="1"/>
  </cellXfs>
  <cellStyles count="11">
    <cellStyle name="20% - Accent2" xfId="8" builtinId="34"/>
    <cellStyle name="20% - Accent5" xfId="9" builtinId="46"/>
    <cellStyle name="60% - Accent5" xfId="5" builtinId="48"/>
    <cellStyle name="Accent1" xfId="3" builtinId="29"/>
    <cellStyle name="Accent2" xfId="7" builtinId="33"/>
    <cellStyle name="Accent4" xfId="6" builtinId="41"/>
    <cellStyle name="Accent5" xfId="4" builtinId="45"/>
    <cellStyle name="Accent6" xfId="10" builtinId="49"/>
    <cellStyle name="Good" xfId="1" builtinId="26"/>
    <cellStyle name="Neutral" xfId="2" builtinId="28"/>
    <cellStyle name="Normal" xfId="0" builtinId="0"/>
  </cellStyles>
  <dxfs count="146">
    <dxf>
      <numFmt numFmtId="1" formatCode="0"/>
      <fill>
        <patternFill patternType="solid">
          <fgColor indexed="64"/>
          <bgColor rgb="FFFFFF00"/>
        </patternFill>
      </fill>
    </dxf>
    <dxf>
      <font>
        <b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/>
      </font>
      <numFmt numFmtId="2" formatCode="0.0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font>
        <b/>
      </font>
      <numFmt numFmtId="1" formatCode="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0" formatCode="General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  <dxf>
      <font>
        <b/>
      </font>
      <numFmt numFmtId="1" formatCode="0"/>
    </dxf>
    <dxf>
      <alignment horizontal="center" vertical="center" textRotation="0" wrapText="1" indent="0" justifyLastLine="0" shrinkToFit="0" readingOrder="0"/>
    </dxf>
    <dxf>
      <font>
        <b/>
      </font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0000000}" name="Table121232736384042" displayName="Table121232736384042" ref="B2:L9" totalsRowShown="0" headerRowDxfId="145">
  <autoFilter ref="B2:L9" xr:uid="{00000000-0009-0000-0100-000029000000}"/>
  <tableColumns count="11">
    <tableColumn id="1" xr3:uid="{00000000-0010-0000-0000-000001000000}" name="NCRI"/>
    <tableColumn id="2" xr3:uid="{00000000-0010-0000-0000-000002000000}" name="Fresh lime"/>
    <tableColumn id="3" xr3:uid="{00000000-0010-0000-0000-000003000000}" name="Pine Light"/>
    <tableColumn id="4" xr3:uid="{00000000-0010-0000-0000-000004000000}" name="Lychee Blast"/>
    <tableColumn id="8" xr3:uid="{00000000-0010-0000-0000-000008000000}" name="Smoke House"/>
    <tableColumn id="9" xr3:uid="{00000000-0010-0000-0000-000009000000}" name="Ala Keiv"/>
    <tableColumn id="10" xr3:uid="{00000000-0010-0000-0000-00000A000000}" name="Taragon Chk"/>
    <tableColumn id="11" xr3:uid="{00000000-0010-0000-0000-00000B000000}" name="Wild Mushroom"/>
    <tableColumn id="12" xr3:uid="{00000000-0010-0000-0000-00000C000000}" name="Outback fire steak"/>
    <tableColumn id="13" xr3:uid="{00000000-0010-0000-0000-00000D000000}" name="Fish n Chips"/>
    <tableColumn id="16" xr3:uid="{00000000-0010-0000-0000-000010000000}" name="Total" dataDxfId="144">
      <calculatedColumnFormula>SUM(Table121232736384042[[#This Row],[Fresh lime]:[Fish n Chips]])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9000000}" name="Table13222428373941" displayName="Table13222428373941" ref="B18:L25" totalsRowShown="0" headerRowDxfId="116">
  <autoFilter ref="B18:L25" xr:uid="{00000000-0009-0000-0100-000028000000}"/>
  <tableColumns count="11">
    <tableColumn id="1" xr3:uid="{00000000-0010-0000-0900-000001000000}" name="NCRI"/>
    <tableColumn id="2" xr3:uid="{00000000-0010-0000-0900-000002000000}" name="Drink"/>
    <tableColumn id="3" xr3:uid="{00000000-0010-0000-0900-000003000000}" name="Column1"/>
    <tableColumn id="4" xr3:uid="{00000000-0010-0000-0900-000004000000}" name="Column2"/>
    <tableColumn id="8" xr3:uid="{00000000-0010-0000-0900-000008000000}" name="Steamed noodle"/>
    <tableColumn id="9" xr3:uid="{00000000-0010-0000-0900-000009000000}" name="Beef Noodle"/>
    <tableColumn id="10" xr3:uid="{00000000-0010-0000-0900-00000A000000}" name="Column3"/>
    <tableColumn id="11" xr3:uid="{00000000-0010-0000-0900-00000B000000}" name="Column4"/>
    <tableColumn id="12" xr3:uid="{00000000-0010-0000-0900-00000C000000}" name="Column5"/>
    <tableColumn id="13" xr3:uid="{00000000-0010-0000-0900-00000D000000}" name="Dumpling"/>
    <tableColumn id="16" xr3:uid="{00000000-0010-0000-0900-000010000000}" name="Total" dataDxfId="115">
      <calculatedColumnFormula>SUM(Table13222428373941[[#This Row],[Drink]:[Dumpling]])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A000000}" name="Table12123273638" displayName="Table12123273638" ref="B2:L9" totalsRowShown="0" headerRowDxfId="114">
  <autoFilter ref="B2:L9" xr:uid="{00000000-0009-0000-0100-000025000000}"/>
  <tableColumns count="11">
    <tableColumn id="1" xr3:uid="{00000000-0010-0000-0A00-000001000000}" name="NCRI"/>
    <tableColumn id="2" xr3:uid="{00000000-0010-0000-0A00-000002000000}" name="Fresh lime"/>
    <tableColumn id="3" xr3:uid="{00000000-0010-0000-0A00-000003000000}" name="Pine Light"/>
    <tableColumn id="4" xr3:uid="{00000000-0010-0000-0A00-000004000000}" name="Lychee Blast"/>
    <tableColumn id="8" xr3:uid="{00000000-0010-0000-0A00-000008000000}" name="Smoke House"/>
    <tableColumn id="9" xr3:uid="{00000000-0010-0000-0A00-000009000000}" name="Ala Keiv"/>
    <tableColumn id="10" xr3:uid="{00000000-0010-0000-0A00-00000A000000}" name="Taragon Chk"/>
    <tableColumn id="11" xr3:uid="{00000000-0010-0000-0A00-00000B000000}" name="Wild Mushroom"/>
    <tableColumn id="12" xr3:uid="{00000000-0010-0000-0A00-00000C000000}" name="Outback fire steak"/>
    <tableColumn id="13" xr3:uid="{00000000-0010-0000-0A00-00000D000000}" name="Fish n Chips"/>
    <tableColumn id="16" xr3:uid="{00000000-0010-0000-0A00-000010000000}" name="Total" dataDxfId="113">
      <calculatedColumnFormula>SUM(Table12123273638[[#This Row],[Fresh lime]:[Fish n Chips]])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B000000}" name="Table132224283739" displayName="Table132224283739" ref="B18:O25" totalsRowShown="0" headerRowDxfId="112">
  <autoFilter ref="B18:O25" xr:uid="{00000000-0009-0000-0100-000026000000}"/>
  <tableColumns count="14">
    <tableColumn id="1" xr3:uid="{00000000-0010-0000-0B00-000001000000}" name="NCRI"/>
    <tableColumn id="2" xr3:uid="{00000000-0010-0000-0B00-000002000000}" name="Water"/>
    <tableColumn id="3" xr3:uid="{00000000-0010-0000-0B00-000003000000}" name="Column1"/>
    <tableColumn id="4" xr3:uid="{00000000-0010-0000-0B00-000004000000}" name="Column2"/>
    <tableColumn id="8" xr3:uid="{00000000-0010-0000-0B00-000008000000}" name="BarBQ Platter"/>
    <tableColumn id="9" xr3:uid="{00000000-0010-0000-0B00-000009000000}" name="Doner"/>
    <tableColumn id="10" xr3:uid="{00000000-0010-0000-0B00-00000A000000}" name="Column3"/>
    <tableColumn id="11" xr3:uid="{00000000-0010-0000-0B00-00000B000000}" name="Column4"/>
    <tableColumn id="12" xr3:uid="{00000000-0010-0000-0B00-00000C000000}" name="Column5"/>
    <tableColumn id="13" xr3:uid="{00000000-0010-0000-0B00-00000D000000}" name="Column6"/>
    <tableColumn id="16" xr3:uid="{00000000-0010-0000-0B00-000010000000}" name="Total" dataDxfId="111">
      <calculatedColumnFormula>SUM(Table132224283739[[#This Row],[Water]:[Doner]])</calculatedColumnFormula>
    </tableColumn>
    <tableColumn id="5" xr3:uid="{00000000-0010-0000-0B00-000005000000}" name="TAX" dataDxfId="110">
      <calculatedColumnFormula>$D$11/6</calculatedColumnFormula>
    </tableColumn>
    <tableColumn id="18" xr3:uid="{00000000-0010-0000-0B00-000012000000}" name="Grand Total to Pay" dataDxfId="109">
      <calculatedColumnFormula>SUM(#REF!)</calculatedColumnFormula>
    </tableColumn>
    <tableColumn id="19" xr3:uid="{00000000-0010-0000-0B00-000013000000}" name="Grand Total" dataDxfId="108">
      <calculatedColumnFormula>Table132224283739[[#This Row],[Total]]+Table132224283739[[#This Row],[TAX]]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C000000}" name="Table121232736" displayName="Table121232736" ref="B2:L9" totalsRowShown="0" headerRowDxfId="107">
  <autoFilter ref="B2:L9" xr:uid="{00000000-0009-0000-0100-000023000000}"/>
  <tableColumns count="11">
    <tableColumn id="1" xr3:uid="{00000000-0010-0000-0C00-000001000000}" name="NCRI"/>
    <tableColumn id="2" xr3:uid="{00000000-0010-0000-0C00-000002000000}" name="Fresh lime"/>
    <tableColumn id="3" xr3:uid="{00000000-0010-0000-0C00-000003000000}" name="Pine Light"/>
    <tableColumn id="4" xr3:uid="{00000000-0010-0000-0C00-000004000000}" name="Lychee Blast"/>
    <tableColumn id="8" xr3:uid="{00000000-0010-0000-0C00-000008000000}" name="Smoke House"/>
    <tableColumn id="9" xr3:uid="{00000000-0010-0000-0C00-000009000000}" name="Ala Keiv"/>
    <tableColumn id="10" xr3:uid="{00000000-0010-0000-0C00-00000A000000}" name="Taragon Chk"/>
    <tableColumn id="11" xr3:uid="{00000000-0010-0000-0C00-00000B000000}" name="Wild Mushroom"/>
    <tableColumn id="12" xr3:uid="{00000000-0010-0000-0C00-00000C000000}" name="Outback fire steak"/>
    <tableColumn id="13" xr3:uid="{00000000-0010-0000-0C00-00000D000000}" name="Fish n Chips"/>
    <tableColumn id="16" xr3:uid="{00000000-0010-0000-0C00-000010000000}" name="Total" dataDxfId="106">
      <calculatedColumnFormula>SUM(Table121232736[[#This Row],[Fresh lime]:[Fish n Chips]])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D000000}" name="Table1322242837" displayName="Table1322242837" ref="B18:Q25" totalsRowShown="0" headerRowDxfId="105">
  <autoFilter ref="B18:Q25" xr:uid="{00000000-0009-0000-0100-000024000000}"/>
  <tableColumns count="16">
    <tableColumn id="1" xr3:uid="{00000000-0010-0000-0D00-000001000000}" name="NCRI"/>
    <tableColumn id="2" xr3:uid="{00000000-0010-0000-0D00-000002000000}" name="Fresh lime"/>
    <tableColumn id="3" xr3:uid="{00000000-0010-0000-0D00-000003000000}" name="Pine Light"/>
    <tableColumn id="4" xr3:uid="{00000000-0010-0000-0D00-000004000000}" name="Lychee Blast"/>
    <tableColumn id="8" xr3:uid="{00000000-0010-0000-0D00-000008000000}" name="Smoke House"/>
    <tableColumn id="9" xr3:uid="{00000000-0010-0000-0D00-000009000000}" name="Ala Keiv"/>
    <tableColumn id="10" xr3:uid="{00000000-0010-0000-0D00-00000A000000}" name="Taragon Chk"/>
    <tableColumn id="11" xr3:uid="{00000000-0010-0000-0D00-00000B000000}" name="Wild Mushroom"/>
    <tableColumn id="12" xr3:uid="{00000000-0010-0000-0D00-00000C000000}" name="Outback fire steak"/>
    <tableColumn id="13" xr3:uid="{00000000-0010-0000-0D00-00000D000000}" name="Fish n Chips"/>
    <tableColumn id="16" xr3:uid="{00000000-0010-0000-0D00-000010000000}" name="Total" dataDxfId="104">
      <calculatedColumnFormula>SUM(#REF!)</calculatedColumnFormula>
    </tableColumn>
    <tableColumn id="5" xr3:uid="{00000000-0010-0000-0D00-000005000000}" name="TAX" dataDxfId="103">
      <calculatedColumnFormula>$D$11/6</calculatedColumnFormula>
    </tableColumn>
    <tableColumn id="21" xr3:uid="{00000000-0010-0000-0D00-000015000000}" name="Service charges" dataDxfId="102">
      <calculatedColumnFormula>$C$16/6</calculatedColumnFormula>
    </tableColumn>
    <tableColumn id="17" xr3:uid="{00000000-0010-0000-0D00-000011000000}" name="Discount" dataDxfId="101">
      <calculatedColumnFormula>$L$24/10</calculatedColumnFormula>
    </tableColumn>
    <tableColumn id="18" xr3:uid="{00000000-0010-0000-0D00-000012000000}" name="Grand Total to Pay" dataDxfId="100">
      <calculatedColumnFormula>SUM(Table1322242837[[#This Row],[Total]:[Discount]])</calculatedColumnFormula>
    </tableColumn>
    <tableColumn id="19" xr3:uid="{00000000-0010-0000-0D00-000013000000}" name="Grand Total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E000000}" name="Table1212327" displayName="Table1212327" ref="B2:Q14" totalsRowShown="0" headerRowDxfId="99">
  <autoFilter ref="B2:Q14" xr:uid="{00000000-0009-0000-0100-00001A000000}"/>
  <tableColumns count="16">
    <tableColumn id="1" xr3:uid="{00000000-0010-0000-0E00-000001000000}" name="NCRI"/>
    <tableColumn id="2" xr3:uid="{00000000-0010-0000-0E00-000002000000}" name="COKE"/>
    <tableColumn id="3" xr3:uid="{00000000-0010-0000-0E00-000003000000}" name="SPRITE"/>
    <tableColumn id="4" xr3:uid="{00000000-0010-0000-0E00-000004000000}" name="STRBRY"/>
    <tableColumn id="5" xr3:uid="{00000000-0010-0000-0E00-000005000000}" name="Mint Margarita"/>
    <tableColumn id="6" xr3:uid="{00000000-0010-0000-0E00-000006000000}" name="Column1"/>
    <tableColumn id="7" xr3:uid="{00000000-0010-0000-0E00-000007000000}" name="Column2"/>
    <tableColumn id="8" xr3:uid="{00000000-0010-0000-0E00-000008000000}" name="BEEF CHILLI"/>
    <tableColumn id="9" xr3:uid="{00000000-0010-0000-0E00-000009000000}" name="CHKN CHILLI"/>
    <tableColumn id="10" xr3:uid="{00000000-0010-0000-0E00-00000A000000}" name="MUSHRM CHKN "/>
    <tableColumn id="11" xr3:uid="{00000000-0010-0000-0E00-00000B000000}" name="PARMSN CHKN"/>
    <tableColumn id="12" xr3:uid="{00000000-0010-0000-0E00-00000C000000}" name="BIG ZNG BRGR"/>
    <tableColumn id="13" xr3:uid="{00000000-0010-0000-0E00-00000D000000}" name="TRD WINGS"/>
    <tableColumn id="14" xr3:uid="{00000000-0010-0000-0E00-00000E000000}" name="GRLL SNDWCH"/>
    <tableColumn id="15" xr3:uid="{00000000-0010-0000-0E00-00000F000000}" name="Column4" dataDxfId="98"/>
    <tableColumn id="16" xr3:uid="{00000000-0010-0000-0E00-000010000000}" name="Total" dataDxfId="97">
      <calculatedColumnFormula>SUM(Table1212327[[#This Row],[COKE]:[Column4]])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F000000}" name="Table13222428" displayName="Table13222428" ref="B23:V35" totalsRowShown="0" headerRowDxfId="96">
  <autoFilter ref="B23:V35" xr:uid="{00000000-0009-0000-0100-00001B000000}"/>
  <tableColumns count="21">
    <tableColumn id="1" xr3:uid="{00000000-0010-0000-0F00-000001000000}" name="NCRI"/>
    <tableColumn id="2" xr3:uid="{00000000-0010-0000-0F00-000002000000}" name="COKE"/>
    <tableColumn id="3" xr3:uid="{00000000-0010-0000-0F00-000003000000}" name="SPRITE"/>
    <tableColumn id="4" xr3:uid="{00000000-0010-0000-0F00-000004000000}" name="STRBRY"/>
    <tableColumn id="5" xr3:uid="{00000000-0010-0000-0F00-000005000000}" name="Mint Margarita"/>
    <tableColumn id="6" xr3:uid="{00000000-0010-0000-0F00-000006000000}" name="Column1"/>
    <tableColumn id="7" xr3:uid="{00000000-0010-0000-0F00-000007000000}" name="Column2"/>
    <tableColumn id="8" xr3:uid="{00000000-0010-0000-0F00-000008000000}" name="BEEF CHILLI"/>
    <tableColumn id="9" xr3:uid="{00000000-0010-0000-0F00-000009000000}" name="CHKN CHILLI"/>
    <tableColumn id="10" xr3:uid="{00000000-0010-0000-0F00-00000A000000}" name="MUSHRM CHKN "/>
    <tableColumn id="11" xr3:uid="{00000000-0010-0000-0F00-00000B000000}" name="PARMSN CHKN"/>
    <tableColumn id="12" xr3:uid="{00000000-0010-0000-0F00-00000C000000}" name="BIG ZNG BRGR"/>
    <tableColumn id="13" xr3:uid="{00000000-0010-0000-0F00-00000D000000}" name="TRD WINGS"/>
    <tableColumn id="14" xr3:uid="{00000000-0010-0000-0F00-00000E000000}" name="GRLL SNDWCH"/>
    <tableColumn id="15" xr3:uid="{00000000-0010-0000-0F00-00000F000000}" name="Column4"/>
    <tableColumn id="16" xr3:uid="{00000000-0010-0000-0F00-000010000000}" name="Total" dataDxfId="95">
      <calculatedColumnFormula>SUM(Table13222428[[#This Row],[COKE]:[GRLL SNDWCH]])</calculatedColumnFormula>
    </tableColumn>
    <tableColumn id="21" xr3:uid="{00000000-0010-0000-0F00-000015000000}" name="Service charges" dataDxfId="94">
      <calculatedColumnFormula>150/8</calculatedColumnFormula>
    </tableColumn>
    <tableColumn id="17" xr3:uid="{00000000-0010-0000-0F00-000011000000}" name="Mehak Sharing Total" dataDxfId="93">
      <calculatedColumnFormula>$Q$29/10</calculatedColumnFormula>
    </tableColumn>
    <tableColumn id="18" xr3:uid="{00000000-0010-0000-0F00-000012000000}" name="Grand Total to Pay" dataDxfId="92">
      <calculatedColumnFormula>SUM(Table13222428[[#This Row],[Total]:[Mehak Sharing Total]])</calculatedColumnFormula>
    </tableColumn>
    <tableColumn id="19" xr3:uid="{00000000-0010-0000-0F00-000013000000}" name="Discount"/>
    <tableColumn id="20" xr3:uid="{00000000-0010-0000-0F00-000014000000}" name="Column12" dataDxfId="91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Table12123" displayName="Table12123" ref="B2:Q14" totalsRowShown="0" headerRowDxfId="90">
  <autoFilter ref="B2:Q14" xr:uid="{00000000-0009-0000-0100-000016000000}"/>
  <tableColumns count="16">
    <tableColumn id="1" xr3:uid="{00000000-0010-0000-1000-000001000000}" name="NCRI"/>
    <tableColumn id="2" xr3:uid="{00000000-0010-0000-1000-000002000000}" name="Pepsi"/>
    <tableColumn id="3" xr3:uid="{00000000-0010-0000-1000-000003000000}" name="Fresh Lime"/>
    <tableColumn id="4" xr3:uid="{00000000-0010-0000-1000-000004000000}" name="7up"/>
    <tableColumn id="5" xr3:uid="{00000000-0010-0000-1000-000005000000}" name="Mint Margarita"/>
    <tableColumn id="6" xr3:uid="{00000000-0010-0000-1000-000006000000}" name="Mirinda"/>
    <tableColumn id="7" xr3:uid="{00000000-0010-0000-1000-000007000000}" name="Redbull"/>
    <tableColumn id="8" xr3:uid="{00000000-0010-0000-1000-000008000000}" name="Honey Barbq"/>
    <tableColumn id="9" xr3:uid="{00000000-0010-0000-1000-000009000000}" name="parmesan pasta"/>
    <tableColumn id="10" xr3:uid="{00000000-0010-0000-1000-00000A000000}" name="mozzarella burger"/>
    <tableColumn id="11" xr3:uid="{00000000-0010-0000-1000-00000B000000}" name="kungpao chicken"/>
    <tableColumn id="12" xr3:uid="{00000000-0010-0000-1000-00000C000000}" name="chicken chilli"/>
    <tableColumn id="13" xr3:uid="{00000000-0010-0000-1000-00000D000000}" name="crunchy burger"/>
    <tableColumn id="14" xr3:uid="{00000000-0010-0000-1000-00000E000000}" name="teriyaki chicken"/>
    <tableColumn id="15" xr3:uid="{00000000-0010-0000-1000-00000F000000}" name="Column4" dataDxfId="89"/>
    <tableColumn id="16" xr3:uid="{00000000-0010-0000-1000-000010000000}" name="Total" dataDxfId="88">
      <calculatedColumnFormula>SUM(Table12123[[#This Row],[Pepsi]:[Column4]])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1000000}" name="Table132224" displayName="Table132224" ref="B23:V35" totalsRowShown="0" headerRowDxfId="87">
  <autoFilter ref="B23:V35" xr:uid="{00000000-0009-0000-0100-000017000000}"/>
  <tableColumns count="21">
    <tableColumn id="1" xr3:uid="{00000000-0010-0000-1100-000001000000}" name="NCRI"/>
    <tableColumn id="2" xr3:uid="{00000000-0010-0000-1100-000002000000}" name="Pepsi"/>
    <tableColumn id="3" xr3:uid="{00000000-0010-0000-1100-000003000000}" name="Fresh Lime"/>
    <tableColumn id="4" xr3:uid="{00000000-0010-0000-1100-000004000000}" name="7up"/>
    <tableColumn id="5" xr3:uid="{00000000-0010-0000-1100-000005000000}" name="Mint Margarita"/>
    <tableColumn id="6" xr3:uid="{00000000-0010-0000-1100-000006000000}" name="Mirinda"/>
    <tableColumn id="7" xr3:uid="{00000000-0010-0000-1100-000007000000}" name="Redbull"/>
    <tableColumn id="8" xr3:uid="{00000000-0010-0000-1100-000008000000}" name="Honey Barbq"/>
    <tableColumn id="9" xr3:uid="{00000000-0010-0000-1100-000009000000}" name="parmesan pasta"/>
    <tableColumn id="10" xr3:uid="{00000000-0010-0000-1100-00000A000000}" name="mozzarella burger"/>
    <tableColumn id="11" xr3:uid="{00000000-0010-0000-1100-00000B000000}" name="kungpao chicken"/>
    <tableColumn id="12" xr3:uid="{00000000-0010-0000-1100-00000C000000}" name="chicken chilli"/>
    <tableColumn id="13" xr3:uid="{00000000-0010-0000-1100-00000D000000}" name="crunchy burger"/>
    <tableColumn id="14" xr3:uid="{00000000-0010-0000-1100-00000E000000}" name="teriyaki chicken"/>
    <tableColumn id="15" xr3:uid="{00000000-0010-0000-1100-00000F000000}" name="Column4"/>
    <tableColumn id="16" xr3:uid="{00000000-0010-0000-1100-000010000000}" name="Total" dataDxfId="86">
      <calculatedColumnFormula>SUM(Table132224[[#This Row],[Pepsi]:[teriyaki chicken]])</calculatedColumnFormula>
    </tableColumn>
    <tableColumn id="21" xr3:uid="{00000000-0010-0000-1100-000015000000}" name="Service charges" dataDxfId="85">
      <calculatedColumnFormula>150/8</calculatedColumnFormula>
    </tableColumn>
    <tableColumn id="17" xr3:uid="{00000000-0010-0000-1100-000011000000}" name="Hamza Sharing Total" dataDxfId="84">
      <calculatedColumnFormula>$Q$29/10</calculatedColumnFormula>
    </tableColumn>
    <tableColumn id="18" xr3:uid="{00000000-0010-0000-1100-000012000000}" name="Grand Total to Pay" dataDxfId="83">
      <calculatedColumnFormula>SUM(Table132224[[#This Row],[Total]:[Hamza Sharing Total]])</calculatedColumnFormula>
    </tableColumn>
    <tableColumn id="19" xr3:uid="{00000000-0010-0000-1100-000013000000}" name="Discount"/>
    <tableColumn id="20" xr3:uid="{00000000-0010-0000-1100-000014000000}" name="Column1" dataDxfId="82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B826E40-CB37-4EB5-A77A-F7967CCC6DDA}" name="Table152" displayName="Table152" ref="B2:L16" totalsRowShown="0" headerRowDxfId="7">
  <autoFilter ref="B2:L16" xr:uid="{00000000-0009-0000-0100-000001000000}"/>
  <tableColumns count="11">
    <tableColumn id="1" xr3:uid="{ABA9C738-69BB-4920-91C5-47E30C44D47C}" name="NCRI"/>
    <tableColumn id="2" xr3:uid="{C5A26EBA-E742-4A63-8E5A-84F833E9E3C5}" name="Coke"/>
    <tableColumn id="3" xr3:uid="{63752602-5524-4B63-9A4D-134D4D88A46C}" name="Fresh Lime"/>
    <tableColumn id="4" xr3:uid="{D0692370-E085-43CE-9124-9C73E9CAB2CF}" name="Mineral Water"/>
    <tableColumn id="8" xr3:uid="{EA5585F1-2579-40C8-ACD6-D87C234F1912}" name="Mushroom Chk"/>
    <tableColumn id="9" xr3:uid="{448CC950-CB26-44D0-A544-2FF7E6B0CCB5}" name="Florida Beef Burger"/>
    <tableColumn id="10" xr3:uid="{688D8F5E-791A-4AC5-8E25-EE886FBD1B49}" name="Mushroon Steak"/>
    <tableColumn id="11" xr3:uid="{53D7A9B1-E777-49F4-A7BC-CA2375ED8419}" name="Cowboy Steak"/>
    <tableColumn id="12" xr3:uid="{EAF0FBA5-B759-4DF6-B11A-A1E888F7682B}" name="Pltr 1"/>
    <tableColumn id="13" xr3:uid="{CBF84C52-D001-4541-97AA-128EEC03CDDE}" name="Parmesan chk"/>
    <tableColumn id="16" xr3:uid="{E213DEA2-E430-4AE5-B08E-DCC5264C75E3}" name="Total" dataDxfId="5">
      <calculatedColumnFormula>SUM(Table152[[#This Row],[Coke]:[Parmesan chk]])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1000000}" name="Table1322242837394143" displayName="Table1322242837394143" ref="B18:L25" totalsRowShown="0" headerRowDxfId="143">
  <autoFilter ref="B18:L25" xr:uid="{00000000-0009-0000-0100-00002A000000}"/>
  <tableColumns count="11">
    <tableColumn id="1" xr3:uid="{00000000-0010-0000-0100-000001000000}" name="NCRI"/>
    <tableColumn id="2" xr3:uid="{00000000-0010-0000-0100-000002000000}" name="Drink"/>
    <tableColumn id="3" xr3:uid="{00000000-0010-0000-0100-000003000000}" name="Tea"/>
    <tableColumn id="4" xr3:uid="{00000000-0010-0000-0100-000004000000}" name="Column2"/>
    <tableColumn id="8" xr3:uid="{00000000-0010-0000-0100-000008000000}" name="Soup"/>
    <tableColumn id="9" xr3:uid="{00000000-0010-0000-0100-000009000000}" name="Combo"/>
    <tableColumn id="10" xr3:uid="{00000000-0010-0000-0100-00000A000000}" name="Column3"/>
    <tableColumn id="11" xr3:uid="{00000000-0010-0000-0100-00000B000000}" name="Column4"/>
    <tableColumn id="12" xr3:uid="{00000000-0010-0000-0100-00000C000000}" name="Jalebi"/>
    <tableColumn id="13" xr3:uid="{00000000-0010-0000-0100-00000D000000}" name="TAX"/>
    <tableColumn id="16" xr3:uid="{00000000-0010-0000-0100-000010000000}" name="Total" dataDxfId="142">
      <calculatedColumnFormula>SUM(Table1322242837394143[[#This Row],[Drink]:[Jalebi]])*Table1322242837394143[[#This Row],[TAX]]</calculatedColumnFormula>
    </tableColumn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80C7ABC-9AE7-4F6B-9AAB-EC3EE3610F3B}" name="Table1353" displayName="Table1353" ref="B21:Q32" totalsRowShown="0">
  <autoFilter ref="B21:Q32" xr:uid="{00000000-0009-0000-0100-000002000000}"/>
  <tableColumns count="16">
    <tableColumn id="1" xr3:uid="{F07CCBE5-DFA1-4458-A55A-8914EFD3A8D0}" name="NCRI"/>
    <tableColumn id="2" xr3:uid="{2F462D45-FCE4-4095-B113-EB45836ACE5C}" name="Coke" dataDxfId="4">
      <calculatedColumnFormula>C$18*C3</calculatedColumnFormula>
    </tableColumn>
    <tableColumn id="3" xr3:uid="{C8329666-CED0-4A26-9629-5BD21D026C81}" name="Fresh Lime">
      <calculatedColumnFormula>D$18*D3</calculatedColumnFormula>
    </tableColumn>
    <tableColumn id="4" xr3:uid="{570D10E0-626C-4680-A50A-65D0FF259878}" name="Mineral Water">
      <calculatedColumnFormula>E$18*E3</calculatedColumnFormula>
    </tableColumn>
    <tableColumn id="5" xr3:uid="{0A2ABEC2-5500-4B40-86D7-7490AF5DD5DD}" name="Mushroom Chk">
      <calculatedColumnFormula>F$18*F3</calculatedColumnFormula>
    </tableColumn>
    <tableColumn id="6" xr3:uid="{CBFC61F3-9371-441A-83B9-2344E38B178E}" name="Florida Beef Burger">
      <calculatedColumnFormula>G$18*G3</calculatedColumnFormula>
    </tableColumn>
    <tableColumn id="7" xr3:uid="{553AA507-67CD-4A75-9D99-DF8E940B8CF7}" name="Mushroon Steak">
      <calculatedColumnFormula>H$18*H3</calculatedColumnFormula>
    </tableColumn>
    <tableColumn id="8" xr3:uid="{49905BC4-7E6B-4973-8926-F88479A4B701}" name="Cowboy Steak">
      <calculatedColumnFormula>I$18*I3</calculatedColumnFormula>
    </tableColumn>
    <tableColumn id="9" xr3:uid="{7368602E-1720-45A1-A8A5-DE343316FCC4}" name="Pltr 1">
      <calculatedColumnFormula>J$18*J3</calculatedColumnFormula>
    </tableColumn>
    <tableColumn id="10" xr3:uid="{3C8B489D-3C8C-4CC5-BEDC-11FFE92A0485}" name="Parmesan chk">
      <calculatedColumnFormula>K$18*K3</calculatedColumnFormula>
    </tableColumn>
    <tableColumn id="11" xr3:uid="{BC58EA22-6CE9-47C5-930F-1A10C14E545B}" name="Total" dataDxfId="3">
      <calculatedColumnFormula>SUM(Table1353[[#This Row],[Coke]:[Parmesan chk]])</calculatedColumnFormula>
    </tableColumn>
    <tableColumn id="16" xr3:uid="{64DDEFE9-FD6E-4F92-9E26-7632C796100A}" name="Sharing Nasr" dataDxfId="1">
      <calculatedColumnFormula>$L$28/12</calculatedColumnFormula>
    </tableColumn>
    <tableColumn id="17" xr3:uid="{A5BDF0F0-3136-4174-B310-63F06C2A6836}" name="Grand Total to Pay" dataDxfId="0">
      <calculatedColumnFormula>Table1353[[#This Row],[Total]]+Table1353[[#This Row],[Sharing Nasr]]</calculatedColumnFormula>
    </tableColumn>
    <tableColumn id="18" xr3:uid="{632A7DD3-4D1A-47EE-A60F-9795AE7367B0}" name="Column1" dataDxfId="2"/>
    <tableColumn id="19" xr3:uid="{E7435CAC-BA68-4656-96B2-FBBF73ED8ACE}" name="Column2"/>
    <tableColumn id="20" xr3:uid="{474D11DD-E74F-4C8A-8C3A-FF69B2095340}" name="Column3" dataDxfId="6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2000000}" name="Table1" displayName="Table1" ref="B2:Q13" totalsRowShown="0" headerRowDxfId="81">
  <autoFilter ref="B2:Q13" xr:uid="{00000000-0009-0000-0100-000001000000}"/>
  <tableColumns count="16">
    <tableColumn id="1" xr3:uid="{00000000-0010-0000-1200-000001000000}" name="NCRI"/>
    <tableColumn id="2" xr3:uid="{00000000-0010-0000-1200-000002000000}" name="Coke"/>
    <tableColumn id="3" xr3:uid="{00000000-0010-0000-1200-000003000000}" name="Fresh Lime"/>
    <tableColumn id="4" xr3:uid="{00000000-0010-0000-1200-000004000000}" name="Mineral Water"/>
    <tableColumn id="5" xr3:uid="{00000000-0010-0000-1200-000005000000}" name="Mint Margarita"/>
    <tableColumn id="6" xr3:uid="{00000000-0010-0000-1200-000006000000}" name="Pina Colada"/>
    <tableColumn id="7" xr3:uid="{00000000-0010-0000-1200-000007000000}" name="Seasonal Juice"/>
    <tableColumn id="8" xr3:uid="{00000000-0010-0000-1200-000008000000}" name="Chicken Nuggets &amp; Fries"/>
    <tableColumn id="9" xr3:uid="{00000000-0010-0000-1200-000009000000}" name="Fettucine Alfredo"/>
    <tableColumn id="10" xr3:uid="{00000000-0010-0000-1200-00000A000000}" name="Farncos Special Chicken"/>
    <tableColumn id="11" xr3:uid="{00000000-0010-0000-1200-00000B000000}" name="Francos Special Parmo"/>
    <tableColumn id="12" xr3:uid="{00000000-0010-0000-1200-00000C000000}" name="Grilled Chicken Tarragon"/>
    <tableColumn id="13" xr3:uid="{00000000-0010-0000-1200-00000D000000}" name="Mexican Amigo Special Chicken"/>
    <tableColumn id="14" xr3:uid="{00000000-0010-0000-1200-00000E000000}" name="Mongolain Beef"/>
    <tableColumn id="15" xr3:uid="{00000000-0010-0000-1200-00000F000000}" name="Tarragon Steak"/>
    <tableColumn id="16" xr3:uid="{00000000-0010-0000-1200-000010000000}" name="Total" dataDxfId="80">
      <calculatedColumnFormula>SUM(Table1[[#This Row],[Coke]:[Tarragon Steak]])</calculatedColumnFormula>
    </tableColumn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3000000}" name="Table13" displayName="Table13" ref="B21:U32" totalsRowShown="0" headerRowDxfId="79">
  <autoFilter ref="B21:U32" xr:uid="{00000000-0009-0000-0100-000002000000}"/>
  <tableColumns count="20">
    <tableColumn id="1" xr3:uid="{00000000-0010-0000-1300-000001000000}" name="NCRI"/>
    <tableColumn id="2" xr3:uid="{00000000-0010-0000-1300-000002000000}" name="Coke"/>
    <tableColumn id="3" xr3:uid="{00000000-0010-0000-1300-000003000000}" name="Fresh Lime"/>
    <tableColumn id="4" xr3:uid="{00000000-0010-0000-1300-000004000000}" name="Mineral Water"/>
    <tableColumn id="5" xr3:uid="{00000000-0010-0000-1300-000005000000}" name="Mint Margarita"/>
    <tableColumn id="6" xr3:uid="{00000000-0010-0000-1300-000006000000}" name="Pina Colada"/>
    <tableColumn id="7" xr3:uid="{00000000-0010-0000-1300-000007000000}" name="Seasonal Juice"/>
    <tableColumn id="8" xr3:uid="{00000000-0010-0000-1300-000008000000}" name="Chicken Nuggets &amp; Fries"/>
    <tableColumn id="9" xr3:uid="{00000000-0010-0000-1300-000009000000}" name="Fettucine Alfredo"/>
    <tableColumn id="10" xr3:uid="{00000000-0010-0000-1300-00000A000000}" name="Farncos Special Chicken"/>
    <tableColumn id="11" xr3:uid="{00000000-0010-0000-1300-00000B000000}" name="Francos Special Parmo"/>
    <tableColumn id="12" xr3:uid="{00000000-0010-0000-1300-00000C000000}" name="Grilled Chicken Tarragon"/>
    <tableColumn id="13" xr3:uid="{00000000-0010-0000-1300-00000D000000}" name="Mexican Amigo Special Chicken"/>
    <tableColumn id="14" xr3:uid="{00000000-0010-0000-1300-00000E000000}" name="Mongolain Beef"/>
    <tableColumn id="15" xr3:uid="{00000000-0010-0000-1300-00000F000000}" name="Tarragon Steak"/>
    <tableColumn id="16" xr3:uid="{00000000-0010-0000-1300-000010000000}" name="Total" dataDxfId="78">
      <calculatedColumnFormula>SUM(Table13[[#This Row],[Coke]:[Tarragon Steak]])</calculatedColumnFormula>
    </tableColumn>
    <tableColumn id="17" xr3:uid="{00000000-0010-0000-1300-000011000000}" name="Sharing Waseem Total" dataDxfId="77">
      <calculatedColumnFormula>$Q$31/9</calculatedColumnFormula>
    </tableColumn>
    <tableColumn id="18" xr3:uid="{00000000-0010-0000-1300-000012000000}" name="Grand Total to Pay" dataDxfId="76">
      <calculatedColumnFormula>SUM(Table13[[#This Row],[Total]:[Sharing Waseem Total]])</calculatedColumnFormula>
    </tableColumn>
    <tableColumn id="19" xr3:uid="{00000000-0010-0000-1300-000013000000}" name="Received"/>
    <tableColumn id="20" xr3:uid="{00000000-0010-0000-1300-000014000000}" name="Extra Cash" dataDxfId="75">
      <calculatedColumnFormula>Table13[[#This Row],[Received]]-Table13[[#This Row],[Grand Total to Pay]]</calculatedColumnFormula>
    </tableColumn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4000000}" name="Table119" displayName="Table119" ref="B2:Q13" totalsRowShown="0" headerRowDxfId="74">
  <autoFilter ref="B2:Q13" xr:uid="{00000000-0009-0000-0100-000012000000}"/>
  <tableColumns count="16">
    <tableColumn id="1" xr3:uid="{00000000-0010-0000-1400-000001000000}" name="NCRI"/>
    <tableColumn id="2" xr3:uid="{00000000-0010-0000-1400-000002000000}" name="Coke"/>
    <tableColumn id="3" xr3:uid="{00000000-0010-0000-1400-000003000000}" name="Fresh Lime"/>
    <tableColumn id="4" xr3:uid="{00000000-0010-0000-1400-000004000000}" name="D Coke"/>
    <tableColumn id="5" xr3:uid="{00000000-0010-0000-1400-000005000000}" name="Strawberry cheese cake"/>
    <tableColumn id="6" xr3:uid="{00000000-0010-0000-1400-000006000000}" name="Column1"/>
    <tableColumn id="7" xr3:uid="{00000000-0010-0000-1400-000007000000}" name="Column2"/>
    <tableColumn id="8" xr3:uid="{00000000-0010-0000-1400-000008000000}" name="Hell fir chicken"/>
    <tableColumn id="9" xr3:uid="{00000000-0010-0000-1400-000009000000}" name="Chicken Chilli dry"/>
    <tableColumn id="10" xr3:uid="{00000000-0010-0000-1400-00000A000000}" name="Rice Bowl"/>
    <tableColumn id="11" xr3:uid="{00000000-0010-0000-1400-00000B000000}" name="Classic American burger"/>
    <tableColumn id="12" xr3:uid="{00000000-0010-0000-1400-00000C000000}" name="Rodeo Fries"/>
    <tableColumn id="13" xr3:uid="{00000000-0010-0000-1400-00000D000000}" name="Column3"/>
    <tableColumn id="14" xr3:uid="{00000000-0010-0000-1400-00000E000000}" name="Column4"/>
    <tableColumn id="15" xr3:uid="{00000000-0010-0000-1400-00000F000000}" name="Column5"/>
    <tableColumn id="16" xr3:uid="{00000000-0010-0000-1400-000010000000}" name="Total" dataDxfId="73">
      <calculatedColumnFormula>SUM(Table119[[#This Row],[Coke]:[Column5]])</calculatedColumnFormula>
    </tableColumn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Table1320" displayName="Table1320" ref="B21:S32" totalsRowShown="0" headerRowDxfId="72">
  <autoFilter ref="B21:S32" xr:uid="{00000000-0009-0000-0100-000013000000}"/>
  <tableColumns count="18">
    <tableColumn id="1" xr3:uid="{00000000-0010-0000-1500-000001000000}" name="NCRI"/>
    <tableColumn id="2" xr3:uid="{00000000-0010-0000-1500-000002000000}" name="Coke"/>
    <tableColumn id="3" xr3:uid="{00000000-0010-0000-1500-000003000000}" name="Fresh Lime"/>
    <tableColumn id="4" xr3:uid="{00000000-0010-0000-1500-000004000000}" name="D Coke"/>
    <tableColumn id="5" xr3:uid="{00000000-0010-0000-1500-000005000000}" name="Strawberry cheese cake"/>
    <tableColumn id="6" xr3:uid="{00000000-0010-0000-1500-000006000000}" name="Column1"/>
    <tableColumn id="7" xr3:uid="{00000000-0010-0000-1500-000007000000}" name="Column2"/>
    <tableColumn id="8" xr3:uid="{00000000-0010-0000-1500-000008000000}" name="Hell fir chicken"/>
    <tableColumn id="9" xr3:uid="{00000000-0010-0000-1500-000009000000}" name="Chicken Chilli dry"/>
    <tableColumn id="10" xr3:uid="{00000000-0010-0000-1500-00000A000000}" name="Rice Bowl"/>
    <tableColumn id="11" xr3:uid="{00000000-0010-0000-1500-00000B000000}" name="Classic American burger"/>
    <tableColumn id="12" xr3:uid="{00000000-0010-0000-1500-00000C000000}" name="Rodeo Fries"/>
    <tableColumn id="13" xr3:uid="{00000000-0010-0000-1500-00000D000000}" name="Column3"/>
    <tableColumn id="14" xr3:uid="{00000000-0010-0000-1500-00000E000000}" name="Column4"/>
    <tableColumn id="15" xr3:uid="{00000000-0010-0000-1500-00000F000000}" name="Column5"/>
    <tableColumn id="16" xr3:uid="{00000000-0010-0000-1500-000010000000}" name="Total" dataDxfId="71">
      <calculatedColumnFormula>SUM(Table1320[[#This Row],[Coke]:[Column5]])</calculatedColumnFormula>
    </tableColumn>
    <tableColumn id="19" xr3:uid="{00000000-0010-0000-1500-000013000000}" name="To pay"/>
    <tableColumn id="17" xr3:uid="{00000000-0010-0000-1500-000011000000}" name="GOT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Table1429" displayName="Table1429" ref="B2:Q13" totalsRowShown="0" headerRowDxfId="70">
  <autoFilter ref="B2:Q13" xr:uid="{00000000-0009-0000-0100-00001C000000}"/>
  <tableColumns count="16">
    <tableColumn id="1" xr3:uid="{00000000-0010-0000-1600-000001000000}" name="NCRI"/>
    <tableColumn id="2" xr3:uid="{00000000-0010-0000-1600-000002000000}" name="Shake"/>
    <tableColumn id="3" xr3:uid="{00000000-0010-0000-1600-000003000000}" name="Fanta"/>
    <tableColumn id="4" xr3:uid="{00000000-0010-0000-1600-000004000000}" name="Sprite"/>
    <tableColumn id="5" xr3:uid="{00000000-0010-0000-1600-000005000000}" name="Mint Margarita"/>
    <tableColumn id="6" xr3:uid="{00000000-0010-0000-1600-000006000000}" name="0"/>
    <tableColumn id="7" xr3:uid="{00000000-0010-0000-1600-000007000000}" name="02"/>
    <tableColumn id="8" xr3:uid="{00000000-0010-0000-1600-000008000000}" name="Fries"/>
    <tableColumn id="9" xr3:uid="{00000000-0010-0000-1600-000009000000}" name="Nachos"/>
    <tableColumn id="10" xr3:uid="{00000000-0010-0000-1600-00000A000000}" name="Chkn Chilli dry"/>
    <tableColumn id="11" xr3:uid="{00000000-0010-0000-1600-00000B000000}" name="Kung pao"/>
    <tableColumn id="12" xr3:uid="{00000000-0010-0000-1600-00000C000000}" name="Column4"/>
    <tableColumn id="13" xr3:uid="{00000000-0010-0000-1600-00000D000000}" name="Column1"/>
    <tableColumn id="14" xr3:uid="{00000000-0010-0000-1600-00000E000000}" name="Column2"/>
    <tableColumn id="15" xr3:uid="{00000000-0010-0000-1600-00000F000000}" name="Column3"/>
    <tableColumn id="16" xr3:uid="{00000000-0010-0000-1600-000010000000}" name="Total" dataDxfId="69">
      <calculatedColumnFormula>SUM(Table1429[[#This Row],[Shake]:[Column3]])</calculatedColumnFormula>
    </tableColumn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Table13530" displayName="Table13530" ref="B21:Q29" totalsRowShown="0" headerRowDxfId="68">
  <autoFilter ref="B21:Q29" xr:uid="{00000000-0009-0000-0100-00001D000000}"/>
  <tableColumns count="16">
    <tableColumn id="1" xr3:uid="{00000000-0010-0000-1700-000001000000}" name="NCRI"/>
    <tableColumn id="2" xr3:uid="{00000000-0010-0000-1700-000002000000}" name="Shake"/>
    <tableColumn id="3" xr3:uid="{00000000-0010-0000-1700-000003000000}" name="Fanta"/>
    <tableColumn id="4" xr3:uid="{00000000-0010-0000-1700-000004000000}" name="Sprite"/>
    <tableColumn id="5" xr3:uid="{00000000-0010-0000-1700-000005000000}" name="Mint Margarita"/>
    <tableColumn id="6" xr3:uid="{00000000-0010-0000-1700-000006000000}" name="0"/>
    <tableColumn id="7" xr3:uid="{00000000-0010-0000-1700-000007000000}" name="02"/>
    <tableColumn id="8" xr3:uid="{00000000-0010-0000-1700-000008000000}" name="Fries"/>
    <tableColumn id="9" xr3:uid="{00000000-0010-0000-1700-000009000000}" name="Nachos"/>
    <tableColumn id="10" xr3:uid="{00000000-0010-0000-1700-00000A000000}" name="Chkn Chilli dry"/>
    <tableColumn id="11" xr3:uid="{00000000-0010-0000-1700-00000B000000}" name="Kung pao"/>
    <tableColumn id="12" xr3:uid="{00000000-0010-0000-1700-00000C000000}" name="-"/>
    <tableColumn id="13" xr3:uid="{00000000-0010-0000-1700-00000D000000}" name="-2"/>
    <tableColumn id="14" xr3:uid="{00000000-0010-0000-1700-00000E000000}" name="-3"/>
    <tableColumn id="15" xr3:uid="{00000000-0010-0000-1700-00000F000000}" name="TIP"/>
    <tableColumn id="16" xr3:uid="{00000000-0010-0000-1700-000010000000}" name="Total" dataDxfId="67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Table1431" displayName="Table1431" ref="B2:K9" totalsRowShown="0" headerRowDxfId="66">
  <autoFilter ref="B2:K9" xr:uid="{00000000-0009-0000-0100-00001E000000}"/>
  <tableColumns count="10">
    <tableColumn id="1" xr3:uid="{00000000-0010-0000-1800-000001000000}" name="NCRI"/>
    <tableColumn id="2" xr3:uid="{00000000-0010-0000-1800-000002000000}" name="Water"/>
    <tableColumn id="3" xr3:uid="{00000000-0010-0000-1800-000003000000}" name="Doodh Patti"/>
    <tableColumn id="8" xr3:uid="{00000000-0010-0000-1800-000008000000}" name="Kaghina"/>
    <tableColumn id="9" xr3:uid="{00000000-0010-0000-1800-000009000000}" name="Paratha"/>
    <tableColumn id="10" xr3:uid="{00000000-0010-0000-1800-00000A000000}" name="CHK Qeema"/>
    <tableColumn id="11" xr3:uid="{00000000-0010-0000-1800-00000B000000}" name="Beef Qeema"/>
    <tableColumn id="12" xr3:uid="{00000000-0010-0000-1800-00000C000000}" name="Crossant"/>
    <tableColumn id="13" xr3:uid="{00000000-0010-0000-1800-00000D000000}" name="Aloo Paratha"/>
    <tableColumn id="16" xr3:uid="{00000000-0010-0000-1800-000010000000}" name="Total" dataDxfId="65">
      <calculatedColumnFormula>SUM(Table1431[[#This Row],[Water]:[Aloo Paratha]])</calculatedColumnFormula>
    </tableColumn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Table13532" displayName="Table13532" ref="B17:K24" totalsRowShown="0" headerRowDxfId="64">
  <autoFilter ref="B17:K24" xr:uid="{00000000-0009-0000-0100-00001F000000}"/>
  <tableColumns count="10">
    <tableColumn id="1" xr3:uid="{00000000-0010-0000-1900-000001000000}" name="NCRI"/>
    <tableColumn id="2" xr3:uid="{00000000-0010-0000-1900-000002000000}" name="Water"/>
    <tableColumn id="3" xr3:uid="{00000000-0010-0000-1900-000003000000}" name="Doodh Patti"/>
    <tableColumn id="4" xr3:uid="{00000000-0010-0000-1900-000004000000}" name="Kaghina"/>
    <tableColumn id="5" xr3:uid="{00000000-0010-0000-1900-000005000000}" name="Paratha"/>
    <tableColumn id="6" xr3:uid="{00000000-0010-0000-1900-000006000000}" name="CHK Qeema"/>
    <tableColumn id="7" xr3:uid="{00000000-0010-0000-1900-000007000000}" name="Beef Qeema"/>
    <tableColumn id="8" xr3:uid="{00000000-0010-0000-1900-000008000000}" name="Crossant"/>
    <tableColumn id="9" xr3:uid="{00000000-0010-0000-1900-000009000000}" name="Aloo Paratha"/>
    <tableColumn id="16" xr3:uid="{00000000-0010-0000-1900-000010000000}" name="Total" dataDxfId="63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A000000}" name="Table32" displayName="Table32" ref="A1:D4" totalsRowShown="0">
  <autoFilter ref="A1:D4" xr:uid="{00000000-0009-0000-0100-000020000000}"/>
  <tableColumns count="4">
    <tableColumn id="1" xr3:uid="{00000000-0010-0000-1A00-000001000000}" name="Item"/>
    <tableColumn id="2" xr3:uid="{00000000-0010-0000-1A00-000002000000}" name="Total Cost"/>
    <tableColumn id="3" xr3:uid="{00000000-0010-0000-1A00-000003000000}" name="Quantity"/>
    <tableColumn id="4" xr3:uid="{00000000-0010-0000-1A00-000004000000}" name="Price / Unit">
      <calculatedColumnFormula>B2/C2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2000000}" name="Table1212327444648" displayName="Table1212327444648" ref="B2:G7" totalsRowShown="0" headerRowDxfId="141">
  <autoFilter ref="B2:G7" xr:uid="{00000000-0009-0000-0100-00002F000000}"/>
  <tableColumns count="6">
    <tableColumn id="1" xr3:uid="{00000000-0010-0000-0200-000001000000}" name="NCRI"/>
    <tableColumn id="2" xr3:uid="{00000000-0010-0000-0200-000002000000}" name="Tarragon Chicken"/>
    <tableColumn id="3" xr3:uid="{00000000-0010-0000-0200-000003000000}" name="Beef Burger2"/>
    <tableColumn id="4" xr3:uid="{00000000-0010-0000-0200-000004000000}" name="Crunch Sandwich"/>
    <tableColumn id="16" xr3:uid="{00000000-0010-0000-0200-000010000000}" name="Blue Colada" dataDxfId="140"/>
    <tableColumn id="5" xr3:uid="{00000000-0010-0000-0200-000005000000}" name="Orange Colada" dataDxfId="139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B000000}" name="Table33" displayName="Table33" ref="A6:D11" totalsRowShown="0">
  <autoFilter ref="A6:D11" xr:uid="{00000000-0009-0000-0100-000021000000}"/>
  <tableColumns count="4">
    <tableColumn id="1" xr3:uid="{00000000-0010-0000-1B00-000001000000}" name="Name"/>
    <tableColumn id="2" xr3:uid="{00000000-0010-0000-1B00-000002000000}" name="Kebab"/>
    <tableColumn id="3" xr3:uid="{00000000-0010-0000-1B00-000003000000}" name="Naan"/>
    <tableColumn id="4" xr3:uid="{00000000-0010-0000-1B00-000004000000}" name="Cost" dataDxfId="62">
      <calculatedColumnFormula>(B7*$D$2)+(C7*$D$3)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C000000}" name="Table34" displayName="Table34" ref="A14:D25" totalsRowShown="0" tableBorderDxfId="61">
  <autoFilter ref="A14:D25" xr:uid="{00000000-0009-0000-0100-000022000000}"/>
  <tableColumns count="4">
    <tableColumn id="1" xr3:uid="{00000000-0010-0000-1C00-000001000000}" name="Marketing"/>
    <tableColumn id="2" xr3:uid="{00000000-0010-0000-1C00-000002000000}" name="Kebab"/>
    <tableColumn id="3" xr3:uid="{00000000-0010-0000-1C00-000003000000}" name="Naan"/>
    <tableColumn id="4" xr3:uid="{00000000-0010-0000-1C00-000004000000}" name="Price / Person" dataDxfId="60">
      <calculatedColumnFormula>(B15*$D$2)+(C15*$D$3)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D000000}" name="Table14" displayName="Table14" ref="B2:Q13" totalsRowShown="0" headerRowDxfId="59">
  <autoFilter ref="B2:Q13" xr:uid="{00000000-0009-0000-0100-000003000000}"/>
  <tableColumns count="16">
    <tableColumn id="1" xr3:uid="{00000000-0010-0000-1D00-000001000000}" name="NCRI"/>
    <tableColumn id="2" xr3:uid="{00000000-0010-0000-1D00-000002000000}" name="Water"/>
    <tableColumn id="3" xr3:uid="{00000000-0010-0000-1D00-000003000000}" name="Pomegranate"/>
    <tableColumn id="4" xr3:uid="{00000000-0010-0000-1D00-000004000000}" name="Blue Lady"/>
    <tableColumn id="5" xr3:uid="{00000000-0010-0000-1D00-000005000000}" name="Mint Margarita"/>
    <tableColumn id="6" xr3:uid="{00000000-0010-0000-1D00-000006000000}" name="-"/>
    <tableColumn id="7" xr3:uid="{00000000-0010-0000-1D00-000007000000}" name="-2"/>
    <tableColumn id="8" xr3:uid="{00000000-0010-0000-1D00-000008000000}" name="BBQ Platter 2"/>
    <tableColumn id="9" xr3:uid="{00000000-0010-0000-1D00-000009000000}" name="Baklava Platter"/>
    <tableColumn id="10" xr3:uid="{00000000-0010-0000-1D00-00000A000000}" name="Lamb Shank"/>
    <tableColumn id="11" xr3:uid="{00000000-0010-0000-1D00-00000B000000}" name="Doner Platter Chicken"/>
    <tableColumn id="12" xr3:uid="{00000000-0010-0000-1D00-00000C000000}" name="Doner Platter Mix"/>
    <tableColumn id="13" xr3:uid="{00000000-0010-0000-1D00-00000D000000}" name="Column1"/>
    <tableColumn id="14" xr3:uid="{00000000-0010-0000-1D00-00000E000000}" name="Column2"/>
    <tableColumn id="15" xr3:uid="{00000000-0010-0000-1D00-00000F000000}" name="Column3"/>
    <tableColumn id="16" xr3:uid="{00000000-0010-0000-1D00-000010000000}" name="Total" dataDxfId="58">
      <calculatedColumnFormula>SUM(Table14[[#This Row],[Water]:[Column3]])</calculatedColumnFormula>
    </tableColumn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E000000}" name="Table135" displayName="Table135" ref="B21:Q29" totalsRowShown="0" headerRowDxfId="57">
  <autoFilter ref="B21:Q29" xr:uid="{00000000-0009-0000-0100-000004000000}"/>
  <tableColumns count="16">
    <tableColumn id="1" xr3:uid="{00000000-0010-0000-1E00-000001000000}" name="NCRI"/>
    <tableColumn id="2" xr3:uid="{00000000-0010-0000-1E00-000002000000}" name="Water"/>
    <tableColumn id="3" xr3:uid="{00000000-0010-0000-1E00-000003000000}" name="Pomegranate"/>
    <tableColumn id="4" xr3:uid="{00000000-0010-0000-1E00-000004000000}" name="Blue Lady"/>
    <tableColumn id="5" xr3:uid="{00000000-0010-0000-1E00-000005000000}" name="Mint Margarita"/>
    <tableColumn id="6" xr3:uid="{00000000-0010-0000-1E00-000006000000}" name="-"/>
    <tableColumn id="7" xr3:uid="{00000000-0010-0000-1E00-000007000000}" name="-2"/>
    <tableColumn id="8" xr3:uid="{00000000-0010-0000-1E00-000008000000}" name="BBQ Platter 2"/>
    <tableColumn id="9" xr3:uid="{00000000-0010-0000-1E00-000009000000}" name="Baklava Platter"/>
    <tableColumn id="10" xr3:uid="{00000000-0010-0000-1E00-00000A000000}" name="Lamb Shank"/>
    <tableColumn id="11" xr3:uid="{00000000-0010-0000-1E00-00000B000000}" name="Doner Platter Chicken"/>
    <tableColumn id="12" xr3:uid="{00000000-0010-0000-1E00-00000C000000}" name="Doner Platter Mix"/>
    <tableColumn id="13" xr3:uid="{00000000-0010-0000-1E00-00000D000000}" name="Column1"/>
    <tableColumn id="14" xr3:uid="{00000000-0010-0000-1E00-00000E000000}" name="Column2"/>
    <tableColumn id="15" xr3:uid="{00000000-0010-0000-1E00-00000F000000}" name="Column3"/>
    <tableColumn id="16" xr3:uid="{00000000-0010-0000-1E00-000010000000}" name="Total" dataDxfId="56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F000000}" name="Table121" displayName="Table121" ref="B2:Q13" totalsRowShown="0" headerRowDxfId="55">
  <autoFilter ref="B2:Q13" xr:uid="{00000000-0009-0000-0100-000014000000}"/>
  <tableColumns count="16">
    <tableColumn id="1" xr3:uid="{00000000-0010-0000-1F00-000001000000}" name="NCRI"/>
    <tableColumn id="2" xr3:uid="{00000000-0010-0000-1F00-000002000000}" name="Coke"/>
    <tableColumn id="3" xr3:uid="{00000000-0010-0000-1F00-000003000000}" name="Fresh Lime"/>
    <tableColumn id="4" xr3:uid="{00000000-0010-0000-1F00-000004000000}" name="Diet Coke"/>
    <tableColumn id="5" xr3:uid="{00000000-0010-0000-1F00-000005000000}" name="Column3"/>
    <tableColumn id="6" xr3:uid="{00000000-0010-0000-1F00-000006000000}" name="Column2"/>
    <tableColumn id="7" xr3:uid="{00000000-0010-0000-1F00-000007000000}" name="Column1"/>
    <tableColumn id="8" xr3:uid="{00000000-0010-0000-1F00-000008000000}" name="Traditional Wings"/>
    <tableColumn id="9" xr3:uid="{00000000-0010-0000-1F00-000009000000}" name="Value Meal"/>
    <tableColumn id="10" xr3:uid="{00000000-0010-0000-1F00-00000A000000}" name="Chicken chilli dry"/>
    <tableColumn id="11" xr3:uid="{00000000-0010-0000-1F00-00000B000000}" name="Rice Bowl"/>
    <tableColumn id="12" xr3:uid="{00000000-0010-0000-1F00-00000C000000}" name="Mushroom Beef Steak"/>
    <tableColumn id="13" xr3:uid="{00000000-0010-0000-1F00-00000D000000}" name="Beef Chili Dry"/>
    <tableColumn id="14" xr3:uid="{00000000-0010-0000-1F00-00000E000000}" name="Plain Fries"/>
    <tableColumn id="15" xr3:uid="{00000000-0010-0000-1F00-00000F000000}" name="Column4" dataDxfId="54"/>
    <tableColumn id="16" xr3:uid="{00000000-0010-0000-1F00-000010000000}" name="Total2" dataDxfId="53">
      <calculatedColumnFormula>SUM(Table121[[#This Row],[Coke]:[Column4]])</calculatedColumnFormula>
    </tableColumn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0000000}" name="Table1322" displayName="Table1322" ref="B23:V34" totalsRowShown="0" headerRowDxfId="52">
  <autoFilter ref="B23:V34" xr:uid="{00000000-0009-0000-0100-000015000000}"/>
  <tableColumns count="21">
    <tableColumn id="1" xr3:uid="{00000000-0010-0000-2000-000001000000}" name="NCRI"/>
    <tableColumn id="2" xr3:uid="{00000000-0010-0000-2000-000002000000}" name="Coke"/>
    <tableColumn id="3" xr3:uid="{00000000-0010-0000-2000-000003000000}" name="Fresh Lime"/>
    <tableColumn id="4" xr3:uid="{00000000-0010-0000-2000-000004000000}" name="Diet Coke"/>
    <tableColumn id="5" xr3:uid="{00000000-0010-0000-2000-000005000000}" name="Column3"/>
    <tableColumn id="6" xr3:uid="{00000000-0010-0000-2000-000006000000}" name="Column2"/>
    <tableColumn id="7" xr3:uid="{00000000-0010-0000-2000-000007000000}" name="Column1"/>
    <tableColumn id="8" xr3:uid="{00000000-0010-0000-2000-000008000000}" name="Traditional Wings"/>
    <tableColumn id="9" xr3:uid="{00000000-0010-0000-2000-000009000000}" name="Value Meal"/>
    <tableColumn id="10" xr3:uid="{00000000-0010-0000-2000-00000A000000}" name="Chicken chilli dry"/>
    <tableColumn id="11" xr3:uid="{00000000-0010-0000-2000-00000B000000}" name="Rice Bowl"/>
    <tableColumn id="12" xr3:uid="{00000000-0010-0000-2000-00000C000000}" name="Mushroom Beef Steak"/>
    <tableColumn id="13" xr3:uid="{00000000-0010-0000-2000-00000D000000}" name="Beef Chili Dry"/>
    <tableColumn id="14" xr3:uid="{00000000-0010-0000-2000-00000E000000}" name="Plain Fries"/>
    <tableColumn id="15" xr3:uid="{00000000-0010-0000-2000-00000F000000}" name="Column4"/>
    <tableColumn id="16" xr3:uid="{00000000-0010-0000-2000-000010000000}" name="Total" dataDxfId="51">
      <calculatedColumnFormula>SUM(Table1322[[#This Row],[Coke]:[Column4]])</calculatedColumnFormula>
    </tableColumn>
    <tableColumn id="21" xr3:uid="{00000000-0010-0000-2000-000015000000}" name="Column5" dataDxfId="50">
      <calculatedColumnFormula>150/8</calculatedColumnFormula>
    </tableColumn>
    <tableColumn id="17" xr3:uid="{00000000-0010-0000-2000-000011000000}" name="Sharing Sitara Total" dataDxfId="49">
      <calculatedColumnFormula>$Q$33/9</calculatedColumnFormula>
    </tableColumn>
    <tableColumn id="18" xr3:uid="{00000000-0010-0000-2000-000012000000}" name="Grand Total to Pay" dataDxfId="48">
      <calculatedColumnFormula>SUM(Table1322[[#This Row],[Total]:[Sharing Sitara Total]])</calculatedColumnFormula>
    </tableColumn>
    <tableColumn id="19" xr3:uid="{00000000-0010-0000-2000-000013000000}" name="Received"/>
    <tableColumn id="20" xr3:uid="{00000000-0010-0000-2000-000014000000}" name="Extra Cash" dataDxfId="47">
      <calculatedColumnFormula>Table1322[[#This Row],[Received]]-Table1322[[#This Row],[Grand Total to Pay]]</calculatedColumnFormula>
    </tableColumn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21000000}" name="Table1412" displayName="Table1412" ref="B2:Q13" totalsRowShown="0" headerRowDxfId="46">
  <autoFilter ref="B2:Q13" xr:uid="{00000000-0009-0000-0100-00000B000000}"/>
  <tableColumns count="16">
    <tableColumn id="1" xr3:uid="{00000000-0010-0000-2100-000001000000}" name="NCRI"/>
    <tableColumn id="2" xr3:uid="{00000000-0010-0000-2100-000002000000}" name="Fanta"/>
    <tableColumn id="3" xr3:uid="{00000000-0010-0000-2100-000003000000}" name="Madeira Red"/>
    <tableColumn id="4" xr3:uid="{00000000-0010-0000-2100-000004000000}" name="Peri Bites"/>
    <tableColumn id="5" xr3:uid="{00000000-0010-0000-2100-000005000000}" name="Full Chicken"/>
    <tableColumn id="6" xr3:uid="{00000000-0010-0000-2100-000006000000}" name="Espetada carnival"/>
    <tableColumn id="7" xr3:uid="{00000000-0010-0000-2100-000007000000}" name="Espetada"/>
    <tableColumn id="8" xr3:uid="{00000000-0010-0000-2100-000008000000}" name="Peri chk Skewers"/>
    <tableColumn id="9" xr3:uid="{00000000-0010-0000-2100-000009000000}" name="Column4"/>
    <tableColumn id="10" xr3:uid="{00000000-0010-0000-2100-00000A000000}" name="Column5"/>
    <tableColumn id="11" xr3:uid="{00000000-0010-0000-2100-00000B000000}" name="Column6"/>
    <tableColumn id="12" xr3:uid="{00000000-0010-0000-2100-00000C000000}" name="Column7"/>
    <tableColumn id="13" xr3:uid="{00000000-0010-0000-2100-00000D000000}" name="Column1"/>
    <tableColumn id="14" xr3:uid="{00000000-0010-0000-2100-00000E000000}" name="Column2"/>
    <tableColumn id="15" xr3:uid="{00000000-0010-0000-2100-00000F000000}" name="Column3"/>
    <tableColumn id="16" xr3:uid="{00000000-0010-0000-2100-000010000000}" name="Total" dataDxfId="45">
      <calculatedColumnFormula>SUM(Table1412[[#This Row],[Fanta]:[Column3]])</calculatedColumnFormula>
    </tableColumn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2000000}" name="Table13513" displayName="Table13513" ref="B21:Q29" totalsRowShown="0" headerRowDxfId="44">
  <tableColumns count="16">
    <tableColumn id="1" xr3:uid="{00000000-0010-0000-2200-000001000000}" name="NCRI"/>
    <tableColumn id="2" xr3:uid="{00000000-0010-0000-2200-000002000000}" name="Fanta"/>
    <tableColumn id="3" xr3:uid="{00000000-0010-0000-2200-000003000000}" name="Madeira Red"/>
    <tableColumn id="4" xr3:uid="{00000000-0010-0000-2200-000004000000}" name="Peri Bites"/>
    <tableColumn id="5" xr3:uid="{00000000-0010-0000-2200-000005000000}" name="Full Chicken"/>
    <tableColumn id="6" xr3:uid="{00000000-0010-0000-2200-000006000000}" name="Espetada carnival"/>
    <tableColumn id="7" xr3:uid="{00000000-0010-0000-2200-000007000000}" name="Espetada"/>
    <tableColumn id="8" xr3:uid="{00000000-0010-0000-2200-000008000000}" name="Peri chk Skewers"/>
    <tableColumn id="9" xr3:uid="{00000000-0010-0000-2200-000009000000}" name="Column4"/>
    <tableColumn id="10" xr3:uid="{00000000-0010-0000-2200-00000A000000}" name="Column5"/>
    <tableColumn id="11" xr3:uid="{00000000-0010-0000-2200-00000B000000}" name="Column6"/>
    <tableColumn id="12" xr3:uid="{00000000-0010-0000-2200-00000C000000}" name="Column7"/>
    <tableColumn id="13" xr3:uid="{00000000-0010-0000-2200-00000D000000}" name="Column1"/>
    <tableColumn id="14" xr3:uid="{00000000-0010-0000-2200-00000E000000}" name="Column2"/>
    <tableColumn id="15" xr3:uid="{00000000-0010-0000-2200-00000F000000}" name="Column3"/>
    <tableColumn id="16" xr3:uid="{00000000-0010-0000-2200-000010000000}" name="Total" dataDxfId="43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3000000}" name="Table141225" displayName="Table141225" ref="B2:Q13" totalsRowShown="0" headerRowDxfId="42">
  <autoFilter ref="B2:Q13" xr:uid="{00000000-0009-0000-0100-000018000000}"/>
  <tableColumns count="16">
    <tableColumn id="1" xr3:uid="{00000000-0010-0000-2300-000001000000}" name="NCRI"/>
    <tableColumn id="2" xr3:uid="{00000000-0010-0000-2300-000002000000}" name="-"/>
    <tableColumn id="3" xr3:uid="{00000000-0010-0000-2300-000003000000}" name="-2"/>
    <tableColumn id="4" xr3:uid="{00000000-0010-0000-2300-000004000000}" name="Arabian box"/>
    <tableColumn id="5" xr3:uid="{00000000-0010-0000-2300-000005000000}" name="Mexican wrap"/>
    <tableColumn id="6" xr3:uid="{00000000-0010-0000-2300-000006000000}" name="Chicken wrap"/>
    <tableColumn id="7" xr3:uid="{00000000-0010-0000-2300-000007000000}" name="-3"/>
    <tableColumn id="8" xr3:uid="{00000000-0010-0000-2300-000008000000}" name="-4"/>
    <tableColumn id="9" xr3:uid="{00000000-0010-0000-2300-000009000000}" name="-5"/>
    <tableColumn id="10" xr3:uid="{00000000-0010-0000-2300-00000A000000}" name="-6"/>
    <tableColumn id="11" xr3:uid="{00000000-0010-0000-2300-00000B000000}" name="-7"/>
    <tableColumn id="12" xr3:uid="{00000000-0010-0000-2300-00000C000000}" name="-8"/>
    <tableColumn id="13" xr3:uid="{00000000-0010-0000-2300-00000D000000}" name="-9"/>
    <tableColumn id="14" xr3:uid="{00000000-0010-0000-2300-00000E000000}" name="-10"/>
    <tableColumn id="15" xr3:uid="{00000000-0010-0000-2300-00000F000000}" name="-11"/>
    <tableColumn id="16" xr3:uid="{00000000-0010-0000-2300-000010000000}" name="Total" dataDxfId="41">
      <calculatedColumnFormula>SUM(Table141225[[#This Row],[-]:[-11]])</calculatedColumnFormula>
    </tableColumn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4000000}" name="Table1351326" displayName="Table1351326" ref="B20:R28" totalsRowShown="0" headerRowDxfId="40">
  <tableColumns count="17">
    <tableColumn id="1" xr3:uid="{00000000-0010-0000-2400-000001000000}" name="NCRI"/>
    <tableColumn id="2" xr3:uid="{00000000-0010-0000-2400-000002000000}" name="-"/>
    <tableColumn id="3" xr3:uid="{00000000-0010-0000-2400-000003000000}" name="-2"/>
    <tableColumn id="4" xr3:uid="{00000000-0010-0000-2400-000004000000}" name="Arabian box"/>
    <tableColumn id="5" xr3:uid="{00000000-0010-0000-2400-000005000000}" name="Mexican wrap"/>
    <tableColumn id="6" xr3:uid="{00000000-0010-0000-2400-000006000000}" name="Chicken wrap"/>
    <tableColumn id="7" xr3:uid="{00000000-0010-0000-2400-000007000000}" name="-3"/>
    <tableColumn id="8" xr3:uid="{00000000-0010-0000-2400-000008000000}" name="-4"/>
    <tableColumn id="9" xr3:uid="{00000000-0010-0000-2400-000009000000}" name="-5"/>
    <tableColumn id="10" xr3:uid="{00000000-0010-0000-2400-00000A000000}" name="-6"/>
    <tableColumn id="11" xr3:uid="{00000000-0010-0000-2400-00000B000000}" name="-7"/>
    <tableColumn id="12" xr3:uid="{00000000-0010-0000-2400-00000C000000}" name="-8"/>
    <tableColumn id="13" xr3:uid="{00000000-0010-0000-2400-00000D000000}" name="-9"/>
    <tableColumn id="14" xr3:uid="{00000000-0010-0000-2400-00000E000000}" name="-10"/>
    <tableColumn id="15" xr3:uid="{00000000-0010-0000-2400-00000F000000}" name="-11"/>
    <tableColumn id="16" xr3:uid="{00000000-0010-0000-2400-000010000000}" name="Total" dataDxfId="39"/>
    <tableColumn id="17" xr3:uid="{00000000-0010-0000-2400-000011000000}" name="Column1" dataDxfId="38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03000000}" name="Table13222428454749" displayName="Table13222428454749" ref="B13:J18" totalsRowShown="0" headerRowDxfId="138">
  <autoFilter ref="B13:J18" xr:uid="{00000000-0009-0000-0100-000030000000}"/>
  <tableColumns count="9">
    <tableColumn id="1" xr3:uid="{00000000-0010-0000-0300-000001000000}" name="NCRI"/>
    <tableColumn id="2" xr3:uid="{00000000-0010-0000-0300-000002000000}" name="Tarragon Chicken"/>
    <tableColumn id="3" xr3:uid="{00000000-0010-0000-0300-000003000000}" name="Beef Burger2"/>
    <tableColumn id="4" xr3:uid="{00000000-0010-0000-0300-000004000000}" name="Crunch Sandwich"/>
    <tableColumn id="18" xr3:uid="{00000000-0010-0000-0300-000012000000}" name="Blue Colada" dataDxfId="137">
      <calculatedColumnFormula>SUM(Table13222428454749[[#This Row],[Tarragon Chicken]:[Crunch Sandwich]])</calculatedColumnFormula>
    </tableColumn>
    <tableColumn id="19" xr3:uid="{00000000-0010-0000-0300-000013000000}" name="Orange Colada"/>
    <tableColumn id="5" xr3:uid="{00000000-0010-0000-0300-000005000000}" name="Discount" dataDxfId="136">
      <calculatedColumnFormula>$C$10/4</calculatedColumnFormula>
    </tableColumn>
    <tableColumn id="7" xr3:uid="{00000000-0010-0000-0300-000007000000}" name="TIP" dataDxfId="135">
      <calculatedColumnFormula>$C$11/4</calculatedColumnFormula>
    </tableColumn>
    <tableColumn id="6" xr3:uid="{00000000-0010-0000-0300-000006000000}" name="Grand Total Food" dataDxfId="134"/>
  </tableColumns>
  <tableStyleInfo name="TableStyleLight1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25000000}" name="Table141211" displayName="Table141211" ref="B2:G10" totalsRowShown="0" headerRowDxfId="37">
  <autoFilter ref="B2:G10" xr:uid="{00000000-0009-0000-0100-00000A000000}"/>
  <tableColumns count="6">
    <tableColumn id="1" xr3:uid="{00000000-0010-0000-2500-000001000000}" name="NCRI"/>
    <tableColumn id="2" xr3:uid="{00000000-0010-0000-2500-000002000000}" name="Coke"/>
    <tableColumn id="3" xr3:uid="{00000000-0010-0000-2500-000003000000}" name="Diet coke"/>
    <tableColumn id="4" xr3:uid="{00000000-0010-0000-2500-000004000000}" name="Grilled Chicken"/>
    <tableColumn id="5" xr3:uid="{00000000-0010-0000-2500-000005000000}" name="Hi tea Platter"/>
    <tableColumn id="16" xr3:uid="{00000000-0010-0000-2500-000010000000}" name="Total" dataDxfId="36">
      <calculatedColumnFormula>SUM(#REF!)</calculatedColumnFormula>
    </tableColumn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26000000}" name="Table1351314" displayName="Table1351314" ref="B18:J26" totalsRowShown="0" headerRowDxfId="35">
  <tableColumns count="9">
    <tableColumn id="1" xr3:uid="{00000000-0010-0000-2600-000001000000}" name="NCRI"/>
    <tableColumn id="2" xr3:uid="{00000000-0010-0000-2600-000002000000}" name="Coke"/>
    <tableColumn id="3" xr3:uid="{00000000-0010-0000-2600-000003000000}" name="Diet coke"/>
    <tableColumn id="4" xr3:uid="{00000000-0010-0000-2600-000004000000}" name="Grilled Chicken"/>
    <tableColumn id="5" xr3:uid="{00000000-0010-0000-2600-000005000000}" name="Hi tea Platter"/>
    <tableColumn id="16" xr3:uid="{00000000-0010-0000-2600-000010000000}" name="Total" dataDxfId="34">
      <calculatedColumnFormula>SUM(Table1351314[[#This Row],[Coke]:[Hi tea Platter]])</calculatedColumnFormula>
    </tableColumn>
    <tableColumn id="6" xr3:uid="{00000000-0010-0000-2600-000006000000}" name="Discount" dataDxfId="33">
      <calculatedColumnFormula>Table1351314[[#This Row],[Total]]-413.65</calculatedColumnFormula>
    </tableColumn>
    <tableColumn id="7" xr3:uid="{00000000-0010-0000-2600-000007000000}" name="Dis TOTAL"/>
    <tableColumn id="8" xr3:uid="{00000000-0010-0000-2600-000008000000}" name="Received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27000000}" name="Table14121115" displayName="Table14121115" ref="B2:G10" totalsRowShown="0" headerRowDxfId="32">
  <autoFilter ref="B2:G10" xr:uid="{00000000-0009-0000-0100-00000E000000}"/>
  <tableColumns count="6">
    <tableColumn id="1" xr3:uid="{00000000-0010-0000-2700-000001000000}" name="NCRI"/>
    <tableColumn id="2" xr3:uid="{00000000-0010-0000-2700-000002000000}" name="Strawberry shake"/>
    <tableColumn id="3" xr3:uid="{00000000-0010-0000-2700-000003000000}" name="Column2"/>
    <tableColumn id="4" xr3:uid="{00000000-0010-0000-2700-000004000000}" name="Column1"/>
    <tableColumn id="5" xr3:uid="{00000000-0010-0000-2700-000005000000}" name="Iftaar platter"/>
    <tableColumn id="16" xr3:uid="{00000000-0010-0000-2700-000010000000}" name="Total" dataDxfId="31">
      <calculatedColumnFormula>SUM(Table14121115[[#This Row],[Strawberry shake]:[Iftaar platter]])</calculatedColumnFormula>
    </tableColumn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28000000}" name="Table135131416" displayName="Table135131416" ref="B18:E26" totalsRowShown="0" headerRowDxfId="30">
  <tableColumns count="4">
    <tableColumn id="1" xr3:uid="{00000000-0010-0000-2800-000001000000}" name="NCRI"/>
    <tableColumn id="2" xr3:uid="{00000000-0010-0000-2800-000002000000}" name="Coke"/>
    <tableColumn id="5" xr3:uid="{00000000-0010-0000-2800-000005000000}" name="Hi tea Platter"/>
    <tableColumn id="16" xr3:uid="{00000000-0010-0000-2800-000010000000}" name="Total" dataDxfId="29">
      <calculatedColumnFormula>SUM(Table135131416[[#This Row],[Coke]:[Hi tea Platter]])</calculatedColumnFormula>
    </tableColumn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29000000}" name="Table146" displayName="Table146" ref="B1:Q13" totalsRowCount="1" headerRowDxfId="28">
  <autoFilter ref="B1:Q12" xr:uid="{00000000-0009-0000-0100-000005000000}"/>
  <tableColumns count="16">
    <tableColumn id="1" xr3:uid="{00000000-0010-0000-2900-000001000000}" name="NCRI"/>
    <tableColumn id="2" xr3:uid="{00000000-0010-0000-2900-000002000000}" name="Card Tea" totalsRowFunction="custom">
      <totalsRowFormula>C12*C19</totalsRowFormula>
    </tableColumn>
    <tableColumn id="3" xr3:uid="{00000000-0010-0000-2900-000003000000}" name="Butter Scotch" totalsRowFunction="custom">
      <totalsRowFormula>D12*D19</totalsRowFormula>
    </tableColumn>
    <tableColumn id="4" xr3:uid="{00000000-0010-0000-2900-000004000000}" name="Tiramisu" totalsRowFunction="custom">
      <totalsRowFormula>E12*E19</totalsRowFormula>
    </tableColumn>
    <tableColumn id="5" xr3:uid="{00000000-0010-0000-2900-000005000000}" name="Cappucino" totalsRowFunction="custom">
      <totalsRowFormula>F12*F19</totalsRowFormula>
    </tableColumn>
    <tableColumn id="6" xr3:uid="{00000000-0010-0000-2900-000006000000}" name="Chocolate swiss" totalsRowFunction="custom">
      <totalsRowFormula>G12*G19</totalsRowFormula>
    </tableColumn>
    <tableColumn id="7" xr3:uid="{00000000-0010-0000-2900-000007000000}" name="Ice cream" totalsRowFunction="custom">
      <totalsRowFormula>H12*H19</totalsRowFormula>
    </tableColumn>
    <tableColumn id="8" xr3:uid="{00000000-0010-0000-2900-000008000000}" name="Ganache Brownie" totalsRowFunction="custom">
      <totalsRowFormula>I12*I19</totalsRowFormula>
    </tableColumn>
    <tableColumn id="9" xr3:uid="{00000000-0010-0000-2900-000009000000}" name="Caramel Latte" totalsRowFunction="custom">
      <totalsRowFormula>J12*J19</totalsRowFormula>
    </tableColumn>
    <tableColumn id="10" xr3:uid="{00000000-0010-0000-2900-00000A000000}" name="Column1"/>
    <tableColumn id="11" xr3:uid="{00000000-0010-0000-2900-00000B000000}" name="Column2"/>
    <tableColumn id="12" xr3:uid="{00000000-0010-0000-2900-00000C000000}" name="Column3"/>
    <tableColumn id="13" xr3:uid="{00000000-0010-0000-2900-00000D000000}" name="Column4"/>
    <tableColumn id="14" xr3:uid="{00000000-0010-0000-2900-00000E000000}" name="Column5"/>
    <tableColumn id="15" xr3:uid="{00000000-0010-0000-2900-00000F000000}" name="Column6"/>
    <tableColumn id="16" xr3:uid="{00000000-0010-0000-2900-000010000000}" name="Total" totalsRowFunction="custom" dataDxfId="27" totalsRowDxfId="26">
      <calculatedColumnFormula>SUM(Table146[[#This Row],[Card Tea]:[Column6]])</calculatedColumnFormula>
      <totalsRowFormula>SUM(Table146[[#Totals],[Card Tea]:[Caramel Latte]])</totalsRowFormula>
    </tableColumn>
  </tableColumns>
  <tableStyleInfo name="TableStyleLight1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2A000000}" name="Table1357" displayName="Table1357" ref="B25:R35" totalsRowShown="0" headerRowDxfId="25">
  <autoFilter ref="B25:R35" xr:uid="{00000000-0009-0000-0100-000006000000}"/>
  <tableColumns count="17">
    <tableColumn id="1" xr3:uid="{00000000-0010-0000-2A00-000001000000}" name="NCRI"/>
    <tableColumn id="2" xr3:uid="{00000000-0010-0000-2A00-000002000000}" name="Card Tea"/>
    <tableColumn id="3" xr3:uid="{00000000-0010-0000-2A00-000003000000}" name="Butter Scotch" dataDxfId="24">
      <calculatedColumnFormula>D$16*D2</calculatedColumnFormula>
    </tableColumn>
    <tableColumn id="4" xr3:uid="{00000000-0010-0000-2A00-000004000000}" name="Tiramisu"/>
    <tableColumn id="5" xr3:uid="{00000000-0010-0000-2A00-000005000000}" name="Cappucino"/>
    <tableColumn id="6" xr3:uid="{00000000-0010-0000-2A00-000006000000}" name="Chocolate swiss"/>
    <tableColumn id="7" xr3:uid="{00000000-0010-0000-2A00-000007000000}" name="Ice cream"/>
    <tableColumn id="8" xr3:uid="{00000000-0010-0000-2A00-000008000000}" name="Ganache Brownie"/>
    <tableColumn id="9" xr3:uid="{00000000-0010-0000-2A00-000009000000}" name="Caramel Latte"/>
    <tableColumn id="10" xr3:uid="{00000000-0010-0000-2A00-00000A000000}" name="Column1"/>
    <tableColumn id="11" xr3:uid="{00000000-0010-0000-2A00-00000B000000}" name="Column2"/>
    <tableColumn id="12" xr3:uid="{00000000-0010-0000-2A00-00000C000000}" name="Column3"/>
    <tableColumn id="13" xr3:uid="{00000000-0010-0000-2A00-00000D000000}" name="Column4"/>
    <tableColumn id="14" xr3:uid="{00000000-0010-0000-2A00-00000E000000}" name="Column5"/>
    <tableColumn id="15" xr3:uid="{00000000-0010-0000-2A00-00000F000000}" name="Column6"/>
    <tableColumn id="16" xr3:uid="{00000000-0010-0000-2A00-000010000000}" name="Total" dataDxfId="23">
      <calculatedColumnFormula>SUM(Table1357[[#This Row],[Card Tea]:[Caramel Latte]])</calculatedColumnFormula>
    </tableColumn>
    <tableColumn id="17" xr3:uid="{00000000-0010-0000-2A00-000011000000}" name="Column7" dataDxfId="22">
      <calculatedColumnFormula>SUM(Q19:Q25)</calculatedColumnFormula>
    </tableColumn>
  </tableColumns>
  <tableStyleInfo name="TableStyleLight1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B000000}" name="Table13578" displayName="Table13578" ref="B36:Q44" totalsRowShown="0" headerRowDxfId="21">
  <autoFilter ref="B36:Q44" xr:uid="{00000000-0009-0000-0100-000007000000}"/>
  <tableColumns count="16">
    <tableColumn id="1" xr3:uid="{00000000-0010-0000-2B00-000001000000}" name="NCRI"/>
    <tableColumn id="2" xr3:uid="{00000000-0010-0000-2B00-000002000000}" name="Card Tea"/>
    <tableColumn id="3" xr3:uid="{00000000-0010-0000-2B00-000003000000}" name="Butter Scotch"/>
    <tableColumn id="4" xr3:uid="{00000000-0010-0000-2B00-000004000000}" name="Tiramisu"/>
    <tableColumn id="5" xr3:uid="{00000000-0010-0000-2B00-000005000000}" name="Cappucino"/>
    <tableColumn id="6" xr3:uid="{00000000-0010-0000-2B00-000006000000}" name="Chocolate swiss"/>
    <tableColumn id="7" xr3:uid="{00000000-0010-0000-2B00-000007000000}" name="Ice cream"/>
    <tableColumn id="8" xr3:uid="{00000000-0010-0000-2B00-000008000000}" name="Ganache Brownie"/>
    <tableColumn id="9" xr3:uid="{00000000-0010-0000-2B00-000009000000}" name="Caramel Latte"/>
    <tableColumn id="10" xr3:uid="{00000000-0010-0000-2B00-00000A000000}" name="Column1"/>
    <tableColumn id="11" xr3:uid="{00000000-0010-0000-2B00-00000B000000}" name="Column2"/>
    <tableColumn id="12" xr3:uid="{00000000-0010-0000-2B00-00000C000000}" name="Column3"/>
    <tableColumn id="13" xr3:uid="{00000000-0010-0000-2B00-00000D000000}" name="Column4"/>
    <tableColumn id="14" xr3:uid="{00000000-0010-0000-2B00-00000E000000}" name="Column5"/>
    <tableColumn id="15" xr3:uid="{00000000-0010-0000-2B00-00000F000000}" name="Column6"/>
    <tableColumn id="16" xr3:uid="{00000000-0010-0000-2B00-000010000000}" name="Total" dataDxfId="20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C000000}" name="Table1469" displayName="Table1469" ref="B1:K12" totalsRowCount="1" headerRowDxfId="19">
  <autoFilter ref="B1:K11" xr:uid="{00000000-0009-0000-0100-000008000000}"/>
  <tableColumns count="10">
    <tableColumn id="1" xr3:uid="{00000000-0010-0000-2C00-000001000000}" name="NCRI"/>
    <tableColumn id="2" xr3:uid="{00000000-0010-0000-2C00-000002000000}" name="Chicken Nacho"/>
    <tableColumn id="3" xr3:uid="{00000000-0010-0000-2C00-000003000000}" name="Club House"/>
    <tableColumn id="4" xr3:uid="{00000000-0010-0000-2C00-000004000000}" name="Chk Pesto"/>
    <tableColumn id="5" xr3:uid="{00000000-0010-0000-2C00-000005000000}" name="Blueberry drink"/>
    <tableColumn id="6" xr3:uid="{00000000-0010-0000-2C00-000006000000}" name="Pepso"/>
    <tableColumn id="7" xr3:uid="{00000000-0010-0000-2C00-000007000000}" name="7up"/>
    <tableColumn id="8" xr3:uid="{00000000-0010-0000-2C00-000008000000}" name="Mint Margarita"/>
    <tableColumn id="9" xr3:uid="{00000000-0010-0000-2C00-000009000000}" name="Fudge Cake"/>
    <tableColumn id="16" xr3:uid="{00000000-0010-0000-2C00-000010000000}" name="Total" dataDxfId="18" totalsRowDxfId="17">
      <calculatedColumnFormula>SUM(Table1469[[#This Row],[Chicken Nacho]:[Fudge Cake]])</calculatedColumnFormula>
    </tableColumn>
  </tableColumns>
  <tableStyleInfo name="TableStyleLight1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2D000000}" name="Table117" displayName="Table117" ref="B2:E13" totalsRowShown="0" headerRowDxfId="16">
  <autoFilter ref="B2:E13" xr:uid="{00000000-0009-0000-0100-000010000000}"/>
  <tableColumns count="4">
    <tableColumn id="1" xr3:uid="{00000000-0010-0000-2D00-000001000000}" name="NCRI"/>
    <tableColumn id="2" xr3:uid="{00000000-0010-0000-2D00-000002000000}" name="Sprite"/>
    <tableColumn id="13" xr3:uid="{00000000-0010-0000-2D00-00000D000000}" name="Iftaar"/>
    <tableColumn id="16" xr3:uid="{00000000-0010-0000-2D00-000010000000}" name="Total" dataDxfId="15">
      <calculatedColumnFormula>SUM(Table117[[#This Row],[Sprite]:[Iftaar]])</calculatedColumnFormula>
    </tableColumn>
  </tableColumns>
  <tableStyleInfo name="TableStyleLight1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E000000}" name="Table1318" displayName="Table1318" ref="B21:H32" totalsRowShown="0" headerRowDxfId="14">
  <autoFilter ref="B21:H32" xr:uid="{00000000-0009-0000-0100-000011000000}"/>
  <tableColumns count="7">
    <tableColumn id="1" xr3:uid="{00000000-0010-0000-2E00-000001000000}" name="NCRI"/>
    <tableColumn id="2" xr3:uid="{00000000-0010-0000-2E00-000002000000}" name="Sprite"/>
    <tableColumn id="3" xr3:uid="{00000000-0010-0000-2E00-000003000000}" name="Iftaar"/>
    <tableColumn id="16" xr3:uid="{00000000-0010-0000-2E00-000010000000}" name="Total" dataDxfId="13">
      <calculatedColumnFormula>SUM(#REF!)</calculatedColumnFormula>
    </tableColumn>
    <tableColumn id="17" xr3:uid="{00000000-0010-0000-2E00-000011000000}" name="Service Charges" dataDxfId="12">
      <calculatedColumnFormula>$E$31/9</calculatedColumnFormula>
    </tableColumn>
    <tableColumn id="18" xr3:uid="{00000000-0010-0000-2E00-000012000000}" name="Grand Total to Pay" dataDxfId="11">
      <calculatedColumnFormula>SUM(Table1318[[#This Row],[Total]:[Service Charges]])</calculatedColumnFormula>
    </tableColumn>
    <tableColumn id="19" xr3:uid="{00000000-0010-0000-2E00-000013000000}" name="Received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04000000}" name="Table12123274446" displayName="Table12123274446" ref="B2:F6" totalsRowShown="0" headerRowDxfId="133">
  <autoFilter ref="B2:F6" xr:uid="{00000000-0009-0000-0100-00002D000000}"/>
  <tableColumns count="5">
    <tableColumn id="1" xr3:uid="{00000000-0010-0000-0400-000001000000}" name="NCRI"/>
    <tableColumn id="2" xr3:uid="{00000000-0010-0000-0400-000002000000}" name="Mushroom Steak"/>
    <tableColumn id="3" xr3:uid="{00000000-0010-0000-0400-000003000000}" name="Beef Burger2"/>
    <tableColumn id="4" xr3:uid="{00000000-0010-0000-0400-000004000000}" name="Frecnh Burger"/>
    <tableColumn id="16" xr3:uid="{00000000-0010-0000-0400-000010000000}" name="Total" dataDxfId="132">
      <calculatedColumnFormula>SUM(Table12123274446[[#This Row],[Mushroom Steak]:[Frecnh Burger]])</calculatedColumnFormula>
    </tableColumn>
  </tableColumns>
  <tableStyleInfo name="TableStyleLight1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2F000000}" name="Table146910" displayName="Table146910" ref="B1:H12" totalsRowCount="1" headerRowDxfId="10">
  <autoFilter ref="B1:H11" xr:uid="{00000000-0009-0000-0100-000009000000}"/>
  <tableColumns count="7">
    <tableColumn id="1" xr3:uid="{00000000-0010-0000-2F00-000001000000}" name="NCRI"/>
    <tableColumn id="2" xr3:uid="{00000000-0010-0000-2F00-000002000000}" name="tomato pasta"/>
    <tableColumn id="3" xr3:uid="{00000000-0010-0000-2F00-000003000000}" name="steak"/>
    <tableColumn id="4" xr3:uid="{00000000-0010-0000-2F00-000004000000}" name="Ceasar salad"/>
    <tableColumn id="5" xr3:uid="{00000000-0010-0000-2F00-000005000000}" name="Mushroom pasta"/>
    <tableColumn id="6" xr3:uid="{00000000-0010-0000-2F00-000006000000}" name="Club Sandwich"/>
    <tableColumn id="16" xr3:uid="{00000000-0010-0000-2F00-000010000000}" name="Total" dataDxfId="9" totalsRowDxfId="8">
      <calculatedColumnFormula>SUM(Table146910[[#This Row],[tomato pasta]:[Club Sandwich]])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05000000}" name="Table132224284547" displayName="Table132224284547" ref="B13:L17" totalsRowShown="0" headerRowDxfId="131">
  <autoFilter ref="B13:L17" xr:uid="{00000000-0009-0000-0100-00002E000000}"/>
  <tableColumns count="11">
    <tableColumn id="1" xr3:uid="{00000000-0010-0000-0500-000001000000}" name="NCRI"/>
    <tableColumn id="2" xr3:uid="{00000000-0010-0000-0500-000002000000}" name="Mushroom Steak"/>
    <tableColumn id="3" xr3:uid="{00000000-0010-0000-0500-000003000000}" name="Beef Burger2"/>
    <tableColumn id="4" xr3:uid="{00000000-0010-0000-0500-000004000000}" name="Frecnh Burger"/>
    <tableColumn id="18" xr3:uid="{00000000-0010-0000-0500-000012000000}" name="Total" dataDxfId="130">
      <calculatedColumnFormula>SUM(Table132224284547[[#This Row],[Mushroom Steak]:[Frecnh Burger]])</calculatedColumnFormula>
    </tableColumn>
    <tableColumn id="19" xr3:uid="{00000000-0010-0000-0500-000013000000}" name="Discount"/>
    <tableColumn id="5" xr3:uid="{00000000-0010-0000-0500-000005000000}" name="TIP" dataDxfId="129">
      <calculatedColumnFormula>$C$10/3</calculatedColumnFormula>
    </tableColumn>
    <tableColumn id="6" xr3:uid="{00000000-0010-0000-0500-000006000000}" name="Grand Total Food" dataDxfId="128"/>
    <tableColumn id="8" xr3:uid="{00000000-0010-0000-0500-000008000000}" name="Indrive" dataDxfId="127">
      <calculatedColumnFormula>$C$11/3</calculatedColumnFormula>
    </tableColumn>
    <tableColumn id="9" xr3:uid="{00000000-0010-0000-0500-000009000000}" name="Paid"/>
    <tableColumn id="10" xr3:uid="{00000000-0010-0000-0500-00000A000000}" name="Grand Total to Pay">
      <calculatedColumnFormula>Table132224284547[[#This Row],[Grand Total Food]]+Table132224284547[[#This Row],[Indrive]]-Table132224284547[[#This Row],[Paid]]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6000000}" name="Table121232744" displayName="Table121232744" ref="B2:Q14" totalsRowShown="0" headerRowDxfId="126">
  <autoFilter ref="B2:Q14" xr:uid="{00000000-0009-0000-0100-00002B000000}"/>
  <tableColumns count="16">
    <tableColumn id="1" xr3:uid="{00000000-0010-0000-0600-000001000000}" name="NCRI"/>
    <tableColumn id="2" xr3:uid="{00000000-0010-0000-0600-000002000000}" name="H20"/>
    <tableColumn id="3" xr3:uid="{00000000-0010-0000-0600-000003000000}" name="Pepsi"/>
    <tableColumn id="4" xr3:uid="{00000000-0010-0000-0600-000004000000}" name="7UP"/>
    <tableColumn id="5" xr3:uid="{00000000-0010-0000-0600-000005000000}" name="FreshLime"/>
    <tableColumn id="6" xr3:uid="{00000000-0010-0000-0600-000006000000}" name="Mint margarita"/>
    <tableColumn id="7" xr3:uid="{00000000-0010-0000-0600-000007000000}" name="Column2"/>
    <tableColumn id="8" xr3:uid="{00000000-0010-0000-0600-000008000000}" name="Club Sandwich"/>
    <tableColumn id="9" xr3:uid="{00000000-0010-0000-0600-000009000000}" name="Beef Burger"/>
    <tableColumn id="10" xr3:uid="{00000000-0010-0000-0600-00000A000000}" name="Platter"/>
    <tableColumn id="11" xr3:uid="{00000000-0010-0000-0600-00000B000000}" name="Mushroom Steak"/>
    <tableColumn id="12" xr3:uid="{00000000-0010-0000-0600-00000C000000}" name="Mushroom Chicken"/>
    <tableColumn id="13" xr3:uid="{00000000-0010-0000-0600-00000D000000}" name="Taraggon Chicken"/>
    <tableColumn id="14" xr3:uid="{00000000-0010-0000-0600-00000E000000}" name="Twin Steak"/>
    <tableColumn id="15" xr3:uid="{00000000-0010-0000-0600-00000F000000}" name="Column1" dataDxfId="125"/>
    <tableColumn id="16" xr3:uid="{00000000-0010-0000-0600-000010000000}" name="Total" dataDxfId="124">
      <calculatedColumnFormula>SUM(Table121232744[[#This Row],[H20]:[Column1]])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7000000}" name="Table1322242845" displayName="Table1322242845" ref="B23:V35" totalsRowShown="0" headerRowDxfId="123">
  <autoFilter ref="B23:V35" xr:uid="{00000000-0009-0000-0100-00002C000000}"/>
  <tableColumns count="21">
    <tableColumn id="1" xr3:uid="{00000000-0010-0000-0700-000001000000}" name="NCRI"/>
    <tableColumn id="2" xr3:uid="{00000000-0010-0000-0700-000002000000}" name="H20"/>
    <tableColumn id="3" xr3:uid="{00000000-0010-0000-0700-000003000000}" name="Pepsi"/>
    <tableColumn id="4" xr3:uid="{00000000-0010-0000-0700-000004000000}" name="7UP"/>
    <tableColumn id="5" xr3:uid="{00000000-0010-0000-0700-000005000000}" name="FreshLime"/>
    <tableColumn id="6" xr3:uid="{00000000-0010-0000-0700-000006000000}" name="Mint margarita"/>
    <tableColumn id="7" xr3:uid="{00000000-0010-0000-0700-000007000000}" name="Column2"/>
    <tableColumn id="8" xr3:uid="{00000000-0010-0000-0700-000008000000}" name="Club Sandwich"/>
    <tableColumn id="9" xr3:uid="{00000000-0010-0000-0700-000009000000}" name="Beef Burger"/>
    <tableColumn id="10" xr3:uid="{00000000-0010-0000-0700-00000A000000}" name="Platter"/>
    <tableColumn id="11" xr3:uid="{00000000-0010-0000-0700-00000B000000}" name="Mushroom Steak"/>
    <tableColumn id="12" xr3:uid="{00000000-0010-0000-0700-00000C000000}" name="Mushroom Chicken"/>
    <tableColumn id="13" xr3:uid="{00000000-0010-0000-0700-00000D000000}" name="Taraggon Chicken"/>
    <tableColumn id="14" xr3:uid="{00000000-0010-0000-0700-00000E000000}" name="Twin Steak"/>
    <tableColumn id="15" xr3:uid="{00000000-0010-0000-0700-00000F000000}" name="Column1"/>
    <tableColumn id="16" xr3:uid="{00000000-0010-0000-0700-000010000000}" name="Total" dataDxfId="122">
      <calculatedColumnFormula>SUM(Table1322242845[[#This Row],[H20]:[Twin Steak]])</calculatedColumnFormula>
    </tableColumn>
    <tableColumn id="21" xr3:uid="{00000000-0010-0000-0700-000015000000}" name="Service charges" dataDxfId="121">
      <calculatedColumnFormula>150/8</calculatedColumnFormula>
    </tableColumn>
    <tableColumn id="17" xr3:uid="{00000000-0010-0000-0700-000011000000}" name="Shoohira Sharing Total" dataDxfId="120">
      <calculatedColumnFormula>$Q$29/10</calculatedColumnFormula>
    </tableColumn>
    <tableColumn id="18" xr3:uid="{00000000-0010-0000-0700-000012000000}" name="Grand Total to Pay" dataDxfId="119">
      <calculatedColumnFormula>SUM(Table1322242845[[#This Row],[Total]:[Shoohira Sharing Total]])</calculatedColumnFormula>
    </tableColumn>
    <tableColumn id="19" xr3:uid="{00000000-0010-0000-0700-000013000000}" name="Discount"/>
    <tableColumn id="20" xr3:uid="{00000000-0010-0000-0700-000014000000}" name="Column3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8000000}" name="Table1212327363840" displayName="Table1212327363840" ref="B2:L9" totalsRowShown="0" headerRowDxfId="118">
  <autoFilter ref="B2:L9" xr:uid="{00000000-0009-0000-0100-000027000000}"/>
  <tableColumns count="11">
    <tableColumn id="1" xr3:uid="{00000000-0010-0000-0800-000001000000}" name="NCRI"/>
    <tableColumn id="2" xr3:uid="{00000000-0010-0000-0800-000002000000}" name="Fresh lime"/>
    <tableColumn id="3" xr3:uid="{00000000-0010-0000-0800-000003000000}" name="Pine Light"/>
    <tableColumn id="4" xr3:uid="{00000000-0010-0000-0800-000004000000}" name="Lychee Blast"/>
    <tableColumn id="8" xr3:uid="{00000000-0010-0000-0800-000008000000}" name="Smoke House"/>
    <tableColumn id="9" xr3:uid="{00000000-0010-0000-0800-000009000000}" name="Ala Keiv"/>
    <tableColumn id="10" xr3:uid="{00000000-0010-0000-0800-00000A000000}" name="Taragon Chk"/>
    <tableColumn id="11" xr3:uid="{00000000-0010-0000-0800-00000B000000}" name="Wild Mushroom"/>
    <tableColumn id="12" xr3:uid="{00000000-0010-0000-0800-00000C000000}" name="Outback fire steak"/>
    <tableColumn id="13" xr3:uid="{00000000-0010-0000-0800-00000D000000}" name="Fish n Chips"/>
    <tableColumn id="16" xr3:uid="{00000000-0010-0000-0800-000010000000}" name="Total" dataDxfId="117">
      <calculatedColumnFormula>SUM(Table1212327363840[[#This Row],[Fresh lime]:[Fish n Chips]])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17" workbookViewId="0">
      <selection activeCell="O26" sqref="O26"/>
    </sheetView>
  </sheetViews>
  <sheetFormatPr defaultRowHeight="14.4" x14ac:dyDescent="0.3"/>
  <cols>
    <col min="2" max="2" width="16.109375" bestFit="1" customWidth="1"/>
    <col min="3" max="3" width="10" bestFit="1" customWidth="1"/>
    <col min="4" max="4" width="7.33203125" customWidth="1"/>
    <col min="5" max="5" width="7.88671875" hidden="1" customWidth="1"/>
    <col min="6" max="6" width="9.33203125" customWidth="1"/>
    <col min="7" max="7" width="9.44140625" bestFit="1" customWidth="1"/>
    <col min="8" max="8" width="10.109375" hidden="1" customWidth="1"/>
    <col min="9" max="9" width="12.6640625" hidden="1" customWidth="1"/>
    <col min="10" max="10" width="13.109375" customWidth="1"/>
    <col min="11" max="11" width="12.5546875" customWidth="1"/>
    <col min="12" max="12" width="10.88671875" customWidth="1"/>
    <col min="13" max="13" width="10" customWidth="1"/>
    <col min="14" max="14" width="9.44140625" bestFit="1" customWidth="1"/>
    <col min="15" max="15" width="10.5546875" bestFit="1" customWidth="1"/>
  </cols>
  <sheetData>
    <row r="1" spans="1:12" hidden="1" x14ac:dyDescent="0.3">
      <c r="C1" s="60" t="s">
        <v>22</v>
      </c>
      <c r="D1" s="60"/>
      <c r="E1" s="60"/>
      <c r="F1" s="61" t="s">
        <v>23</v>
      </c>
      <c r="G1" s="61"/>
      <c r="H1" s="61"/>
      <c r="I1" s="61"/>
      <c r="J1" s="61"/>
      <c r="K1" s="61"/>
      <c r="L1" s="25"/>
    </row>
    <row r="2" spans="1:12" ht="42.75" hidden="1" customHeight="1" x14ac:dyDescent="0.3">
      <c r="B2" s="1" t="s">
        <v>25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229</v>
      </c>
      <c r="I2" s="1" t="s">
        <v>230</v>
      </c>
      <c r="J2" s="1" t="s">
        <v>231</v>
      </c>
      <c r="K2" s="1" t="s">
        <v>232</v>
      </c>
      <c r="L2" s="3" t="s">
        <v>26</v>
      </c>
    </row>
    <row r="3" spans="1:12" hidden="1" x14ac:dyDescent="0.3">
      <c r="A3" s="50" t="s">
        <v>24</v>
      </c>
      <c r="B3" t="s">
        <v>217</v>
      </c>
      <c r="C3" s="6">
        <v>1</v>
      </c>
      <c r="D3" s="6"/>
      <c r="E3" s="6"/>
      <c r="F3" s="6">
        <v>1</v>
      </c>
      <c r="G3" s="6"/>
      <c r="H3" s="6"/>
      <c r="I3" s="6"/>
      <c r="J3" s="6"/>
      <c r="K3" s="6"/>
      <c r="L3" s="2">
        <f>SUM(Table121232736384042[[#This Row],[Fresh lime]:[Fish n Chips]])</f>
        <v>2</v>
      </c>
    </row>
    <row r="4" spans="1:12" hidden="1" x14ac:dyDescent="0.3">
      <c r="A4" s="50"/>
      <c r="B4" t="s">
        <v>4</v>
      </c>
      <c r="C4" s="6"/>
      <c r="D4" s="6"/>
      <c r="E4" s="6"/>
      <c r="F4" s="6"/>
      <c r="G4" s="30"/>
      <c r="H4" s="6">
        <v>1</v>
      </c>
      <c r="I4" s="6"/>
      <c r="J4" s="6"/>
      <c r="K4" s="6"/>
      <c r="L4" s="2">
        <f>SUM(Table121232736384042[[#This Row],[Fresh lime]:[Fish n Chips]])</f>
        <v>1</v>
      </c>
    </row>
    <row r="5" spans="1:12" hidden="1" x14ac:dyDescent="0.3">
      <c r="A5" s="50"/>
      <c r="B5" t="s">
        <v>126</v>
      </c>
      <c r="C5" s="6"/>
      <c r="D5" s="6">
        <v>1</v>
      </c>
      <c r="E5" s="6"/>
      <c r="F5" s="6"/>
      <c r="G5" s="6"/>
      <c r="H5" s="6"/>
      <c r="I5" s="6"/>
      <c r="J5" s="6"/>
      <c r="K5" s="6">
        <v>1</v>
      </c>
      <c r="L5" s="2">
        <f>SUM(Table121232736384042[[#This Row],[Fresh lime]:[Fish n Chips]])</f>
        <v>2</v>
      </c>
    </row>
    <row r="6" spans="1:12" hidden="1" x14ac:dyDescent="0.3">
      <c r="A6" s="50"/>
      <c r="B6" s="29" t="s">
        <v>9</v>
      </c>
      <c r="C6" s="29"/>
      <c r="D6" s="29"/>
      <c r="E6" s="29"/>
      <c r="F6" s="29"/>
      <c r="G6" s="29"/>
      <c r="H6" s="29"/>
      <c r="I6" s="29"/>
      <c r="J6" s="29">
        <v>1</v>
      </c>
      <c r="K6" s="29"/>
      <c r="L6" s="2">
        <f>SUM(Table121232736384042[[#This Row],[Fresh lime]:[Fish n Chips]])</f>
        <v>1</v>
      </c>
    </row>
    <row r="7" spans="1:12" hidden="1" x14ac:dyDescent="0.3">
      <c r="A7" s="50"/>
      <c r="B7" t="s">
        <v>7</v>
      </c>
      <c r="C7" s="6"/>
      <c r="D7" s="6"/>
      <c r="E7" s="6">
        <v>1</v>
      </c>
      <c r="F7" s="6"/>
      <c r="G7" s="6"/>
      <c r="H7" s="6"/>
      <c r="I7" s="6">
        <v>1</v>
      </c>
      <c r="J7" s="6"/>
      <c r="K7" s="6"/>
      <c r="L7" s="2">
        <f>SUM(Table121232736384042[[#This Row],[Fresh lime]:[Fish n Chips]])</f>
        <v>2</v>
      </c>
    </row>
    <row r="8" spans="1:12" hidden="1" x14ac:dyDescent="0.3">
      <c r="A8" s="50"/>
      <c r="B8" t="s">
        <v>216</v>
      </c>
      <c r="C8" s="6"/>
      <c r="D8" s="6"/>
      <c r="E8" s="6"/>
      <c r="F8" s="6"/>
      <c r="G8" s="30">
        <v>1</v>
      </c>
      <c r="H8" s="6"/>
      <c r="I8" s="6"/>
      <c r="J8" s="6"/>
      <c r="K8" s="6"/>
      <c r="L8" s="2">
        <f>SUM(Table121232736384042[[#This Row],[Fresh lime]:[Fish n Chips]])</f>
        <v>1</v>
      </c>
    </row>
    <row r="9" spans="1:12" hidden="1" x14ac:dyDescent="0.3">
      <c r="B9" s="2" t="s">
        <v>26</v>
      </c>
      <c r="C9" s="2">
        <f t="shared" ref="C9:K9" si="0">SUM(C3:C8)</f>
        <v>1</v>
      </c>
      <c r="D9" s="2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>SUM(Table121232736384042[[#This Row],[Fresh lime]:[Fish n Chips]])</f>
        <v>9</v>
      </c>
    </row>
    <row r="10" spans="1:12" hidden="1" x14ac:dyDescent="0.3"/>
    <row r="11" spans="1:12" hidden="1" x14ac:dyDescent="0.3">
      <c r="B11" s="10" t="s">
        <v>29</v>
      </c>
      <c r="C11" s="5">
        <v>0</v>
      </c>
      <c r="D11">
        <v>1385.25</v>
      </c>
    </row>
    <row r="12" spans="1:12" hidden="1" x14ac:dyDescent="0.3">
      <c r="B12" s="10" t="s">
        <v>30</v>
      </c>
      <c r="C12" s="11">
        <v>145</v>
      </c>
      <c r="D12" s="11">
        <v>395</v>
      </c>
      <c r="E12" s="11">
        <v>395</v>
      </c>
      <c r="F12" s="11">
        <v>1025</v>
      </c>
      <c r="G12" s="11">
        <v>1395</v>
      </c>
      <c r="H12" s="11">
        <v>1395</v>
      </c>
      <c r="I12" s="11">
        <v>1395</v>
      </c>
      <c r="J12" s="11">
        <v>1695</v>
      </c>
      <c r="K12" s="11">
        <v>1395</v>
      </c>
      <c r="L12" s="11">
        <f>SUM(C12:K12)</f>
        <v>9235</v>
      </c>
    </row>
    <row r="13" spans="1:12" hidden="1" x14ac:dyDescent="0.3">
      <c r="B13" s="10" t="s">
        <v>31</v>
      </c>
      <c r="C13">
        <f t="shared" ref="C13:K13" si="1">C12*$C$11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 s="11">
        <f>SUM(C13:K13)</f>
        <v>0</v>
      </c>
    </row>
    <row r="14" spans="1:12" hidden="1" x14ac:dyDescent="0.3">
      <c r="B14" s="10" t="s">
        <v>94</v>
      </c>
      <c r="C14" s="6">
        <f>512.5+697.5+697.5</f>
        <v>1907.5</v>
      </c>
    </row>
    <row r="15" spans="1:12" hidden="1" x14ac:dyDescent="0.3">
      <c r="B15" s="10" t="s">
        <v>124</v>
      </c>
      <c r="C15" s="12">
        <f>C12+C13</f>
        <v>145</v>
      </c>
      <c r="D15" s="12">
        <f t="shared" ref="D15:K15" si="2">D12+D13</f>
        <v>395</v>
      </c>
      <c r="E15" s="12">
        <f t="shared" si="2"/>
        <v>395</v>
      </c>
      <c r="F15" s="12">
        <f t="shared" si="2"/>
        <v>1025</v>
      </c>
      <c r="G15" s="12">
        <f t="shared" si="2"/>
        <v>1395</v>
      </c>
      <c r="H15" s="12">
        <f t="shared" si="2"/>
        <v>1395</v>
      </c>
      <c r="I15" s="12">
        <f t="shared" si="2"/>
        <v>1395</v>
      </c>
      <c r="J15" s="12">
        <f t="shared" si="2"/>
        <v>1695</v>
      </c>
      <c r="K15" s="12">
        <f t="shared" si="2"/>
        <v>1395</v>
      </c>
      <c r="L15" s="11"/>
    </row>
    <row r="16" spans="1:12" hidden="1" x14ac:dyDescent="0.3">
      <c r="B16" s="10" t="s">
        <v>138</v>
      </c>
      <c r="C16">
        <v>923.5</v>
      </c>
    </row>
    <row r="17" spans="1:12" x14ac:dyDescent="0.3">
      <c r="C17" s="28" t="s">
        <v>22</v>
      </c>
      <c r="D17" s="28"/>
      <c r="E17" s="28"/>
      <c r="F17" s="25" t="s">
        <v>23</v>
      </c>
      <c r="G17" s="25"/>
      <c r="H17" s="25"/>
      <c r="I17" s="25"/>
      <c r="J17" s="25"/>
      <c r="K17" s="25"/>
      <c r="L17" s="25"/>
    </row>
    <row r="18" spans="1:12" ht="28.8" x14ac:dyDescent="0.3">
      <c r="B18" s="1" t="s">
        <v>25</v>
      </c>
      <c r="C18" s="1" t="s">
        <v>237</v>
      </c>
      <c r="D18" s="1" t="s">
        <v>241</v>
      </c>
      <c r="E18" s="1" t="s">
        <v>41</v>
      </c>
      <c r="F18" s="1" t="s">
        <v>242</v>
      </c>
      <c r="G18" s="1" t="s">
        <v>243</v>
      </c>
      <c r="H18" s="1" t="s">
        <v>49</v>
      </c>
      <c r="I18" s="1" t="s">
        <v>58</v>
      </c>
      <c r="J18" s="1" t="s">
        <v>186</v>
      </c>
      <c r="K18" s="1" t="s">
        <v>233</v>
      </c>
      <c r="L18" s="3" t="s">
        <v>26</v>
      </c>
    </row>
    <row r="19" spans="1:12" x14ac:dyDescent="0.3">
      <c r="A19" s="50" t="s">
        <v>24</v>
      </c>
      <c r="B19" t="s">
        <v>4</v>
      </c>
      <c r="C19" s="6">
        <v>40</v>
      </c>
      <c r="D19" s="6"/>
      <c r="E19" s="6"/>
      <c r="F19" s="6">
        <v>499</v>
      </c>
      <c r="G19" s="6">
        <v>489.66666666666669</v>
      </c>
      <c r="H19" s="6"/>
      <c r="I19" s="6"/>
      <c r="J19" s="6"/>
      <c r="K19" s="6">
        <v>1.1499999999999999</v>
      </c>
      <c r="L19" s="53">
        <f>SUM(Table1322242837394143[[#This Row],[Drink]:[Jalebi]])*Table1322242837394143[[#This Row],[TAX]]</f>
        <v>1182.9666666666667</v>
      </c>
    </row>
    <row r="20" spans="1:12" x14ac:dyDescent="0.3">
      <c r="A20" s="50"/>
      <c r="B20" t="s">
        <v>126</v>
      </c>
      <c r="C20" s="6">
        <v>40</v>
      </c>
      <c r="D20" s="6"/>
      <c r="E20" s="6"/>
      <c r="F20" s="6">
        <v>499</v>
      </c>
      <c r="G20" s="6">
        <v>489.66666666666669</v>
      </c>
      <c r="H20" s="6"/>
      <c r="I20" s="6"/>
      <c r="J20" s="6"/>
      <c r="K20" s="6">
        <v>1.1499999999999999</v>
      </c>
      <c r="L20" s="53">
        <f>SUM(Table1322242837394143[[#This Row],[Drink]:[Jalebi]])*Table1322242837394143[[#This Row],[TAX]]</f>
        <v>1182.9666666666667</v>
      </c>
    </row>
    <row r="21" spans="1:12" x14ac:dyDescent="0.3">
      <c r="A21" s="50"/>
      <c r="B21" t="s">
        <v>177</v>
      </c>
      <c r="C21" s="6">
        <v>40</v>
      </c>
      <c r="D21" s="6"/>
      <c r="E21" s="6"/>
      <c r="F21" s="6">
        <v>499</v>
      </c>
      <c r="G21" s="6">
        <v>489.66666666666669</v>
      </c>
      <c r="H21" s="6"/>
      <c r="I21" s="6"/>
      <c r="J21" s="6"/>
      <c r="K21" s="6">
        <v>1.1499999999999999</v>
      </c>
      <c r="L21" s="53">
        <f>SUM(Table1322242837394143[[#This Row],[Drink]:[Jalebi]])*Table1322242837394143[[#This Row],[TAX]]</f>
        <v>1182.9666666666667</v>
      </c>
    </row>
    <row r="22" spans="1:12" s="4" customFormat="1" x14ac:dyDescent="0.3">
      <c r="A22" s="52"/>
      <c r="B22" s="29" t="s">
        <v>9</v>
      </c>
      <c r="C22" s="6">
        <v>40</v>
      </c>
      <c r="D22" s="29"/>
      <c r="E22" s="29"/>
      <c r="F22" s="29"/>
      <c r="G22" s="29"/>
      <c r="H22" s="29"/>
      <c r="I22" s="29"/>
      <c r="J22" s="29">
        <v>319.5</v>
      </c>
      <c r="K22" s="6">
        <v>1.1499999999999999</v>
      </c>
      <c r="L22" s="53">
        <f>SUM(Table1322242837394143[[#This Row],[Drink]:[Jalebi]])*Table1322242837394143[[#This Row],[TAX]]</f>
        <v>413.42499999999995</v>
      </c>
    </row>
    <row r="23" spans="1:12" x14ac:dyDescent="0.3">
      <c r="A23" s="50"/>
      <c r="B23" t="s">
        <v>7</v>
      </c>
      <c r="C23" s="6">
        <v>40</v>
      </c>
      <c r="D23" s="6">
        <v>279</v>
      </c>
      <c r="E23" s="6"/>
      <c r="F23" s="6"/>
      <c r="G23" s="6"/>
      <c r="H23" s="6"/>
      <c r="I23" s="6"/>
      <c r="J23" s="6">
        <v>319.5</v>
      </c>
      <c r="K23" s="6">
        <v>1.1499999999999999</v>
      </c>
      <c r="L23" s="53">
        <f>SUM(Table1322242837394143[[#This Row],[Drink]:[Jalebi]])*Table1322242837394143[[#This Row],[TAX]]</f>
        <v>734.27499999999998</v>
      </c>
    </row>
    <row r="24" spans="1:12" x14ac:dyDescent="0.3">
      <c r="A24" s="50"/>
      <c r="C24" s="6"/>
      <c r="D24" s="6"/>
      <c r="E24" s="6"/>
      <c r="F24" s="6"/>
      <c r="G24" s="6"/>
      <c r="H24" s="6"/>
      <c r="I24" s="6"/>
      <c r="J24" s="6"/>
      <c r="K24" s="6"/>
      <c r="L24" s="53">
        <f>SUM(Table1322242837394143[[#This Row],[Drink]:[Jalebi]])*Table1322242837394143[[#This Row],[TAX]]</f>
        <v>0</v>
      </c>
    </row>
    <row r="25" spans="1:12" x14ac:dyDescent="0.3">
      <c r="B25" s="2" t="s">
        <v>26</v>
      </c>
      <c r="C25" s="2">
        <f t="shared" ref="C25:K25" si="3">SUM(C19:C24)</f>
        <v>200</v>
      </c>
      <c r="D25" s="2">
        <f t="shared" si="3"/>
        <v>279</v>
      </c>
      <c r="E25" s="2">
        <f t="shared" si="3"/>
        <v>0</v>
      </c>
      <c r="F25" s="2">
        <f t="shared" si="3"/>
        <v>1497</v>
      </c>
      <c r="G25" s="2">
        <f t="shared" si="3"/>
        <v>1469</v>
      </c>
      <c r="H25" s="2">
        <f t="shared" si="3"/>
        <v>0</v>
      </c>
      <c r="I25" s="2">
        <f t="shared" si="3"/>
        <v>0</v>
      </c>
      <c r="J25" s="2">
        <f t="shared" si="3"/>
        <v>639</v>
      </c>
      <c r="K25" s="2">
        <f t="shared" si="3"/>
        <v>5.75</v>
      </c>
      <c r="L25" s="27">
        <f>SUM(L19:L24)</f>
        <v>4696.5999999999995</v>
      </c>
    </row>
  </sheetData>
  <mergeCells count="2">
    <mergeCell ref="C1:E1"/>
    <mergeCell ref="F1:K1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5"/>
  <sheetViews>
    <sheetView topLeftCell="A16" workbookViewId="0">
      <selection activeCell="Q38" sqref="Q38"/>
    </sheetView>
  </sheetViews>
  <sheetFormatPr defaultRowHeight="14.4" x14ac:dyDescent="0.3"/>
  <cols>
    <col min="2" max="2" width="11.33203125" bestFit="1" customWidth="1"/>
    <col min="3" max="3" width="10" bestFit="1" customWidth="1"/>
    <col min="4" max="4" width="7.33203125" customWidth="1"/>
    <col min="5" max="5" width="7.88671875" customWidth="1"/>
    <col min="6" max="6" width="9.33203125" customWidth="1"/>
    <col min="7" max="7" width="11.5546875" bestFit="1" customWidth="1"/>
    <col min="8" max="8" width="9.109375" customWidth="1"/>
    <col min="9" max="9" width="12.6640625" customWidth="1"/>
    <col min="10" max="10" width="13.109375" bestFit="1" customWidth="1"/>
    <col min="11" max="11" width="12.5546875" bestFit="1" customWidth="1"/>
    <col min="12" max="12" width="10" bestFit="1" customWidth="1"/>
    <col min="13" max="13" width="13" bestFit="1" customWidth="1"/>
    <col min="14" max="14" width="8.6640625" customWidth="1"/>
    <col min="15" max="15" width="10.88671875" customWidth="1"/>
    <col min="16" max="16" width="8.88671875" hidden="1" customWidth="1"/>
    <col min="17" max="18" width="10" customWidth="1"/>
    <col min="19" max="19" width="9.44140625" bestFit="1" customWidth="1"/>
    <col min="20" max="20" width="10.5546875" bestFit="1" customWidth="1"/>
  </cols>
  <sheetData>
    <row r="1" spans="1:18" x14ac:dyDescent="0.3">
      <c r="C1" s="60" t="s">
        <v>22</v>
      </c>
      <c r="D1" s="60"/>
      <c r="E1" s="60"/>
      <c r="F1" s="28"/>
      <c r="G1" s="28"/>
      <c r="H1" s="28"/>
      <c r="I1" s="61" t="s">
        <v>23</v>
      </c>
      <c r="J1" s="61"/>
      <c r="K1" s="61"/>
      <c r="L1" s="61"/>
      <c r="M1" s="61"/>
      <c r="N1" s="61"/>
      <c r="O1" s="61"/>
      <c r="P1" s="25"/>
    </row>
    <row r="2" spans="1:18" ht="28.8" x14ac:dyDescent="0.3">
      <c r="B2" s="1" t="s">
        <v>25</v>
      </c>
      <c r="C2" s="1" t="s">
        <v>127</v>
      </c>
      <c r="D2" s="1" t="s">
        <v>11</v>
      </c>
      <c r="E2" s="1" t="s">
        <v>70</v>
      </c>
      <c r="F2" s="1" t="s">
        <v>14</v>
      </c>
      <c r="G2" s="1" t="s">
        <v>128</v>
      </c>
      <c r="H2" s="1" t="s">
        <v>129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  <c r="P2" s="1" t="s">
        <v>58</v>
      </c>
      <c r="Q2" s="3" t="s">
        <v>26</v>
      </c>
      <c r="R2" s="3"/>
    </row>
    <row r="3" spans="1:18" x14ac:dyDescent="0.3">
      <c r="A3" s="62" t="s">
        <v>24</v>
      </c>
      <c r="B3" t="s">
        <v>1</v>
      </c>
      <c r="C3" s="6"/>
      <c r="D3" s="6"/>
      <c r="E3" s="6"/>
      <c r="F3" s="6">
        <v>1</v>
      </c>
      <c r="G3" s="6"/>
      <c r="H3" s="6">
        <v>1</v>
      </c>
      <c r="I3" s="6"/>
      <c r="J3" s="6"/>
      <c r="K3" s="6"/>
      <c r="L3" s="6">
        <v>1</v>
      </c>
      <c r="M3" s="6"/>
      <c r="N3" s="6"/>
      <c r="O3" s="6"/>
      <c r="P3" s="6"/>
      <c r="Q3" s="2">
        <f>SUM(Table12123[[#This Row],[Pepsi]:[Column4]])</f>
        <v>3</v>
      </c>
      <c r="R3" s="2"/>
    </row>
    <row r="4" spans="1:18" x14ac:dyDescent="0.3">
      <c r="A4" s="62"/>
      <c r="B4" t="s">
        <v>9</v>
      </c>
      <c r="C4" s="6"/>
      <c r="D4" s="6"/>
      <c r="E4" s="6"/>
      <c r="F4" s="6"/>
      <c r="G4" s="6">
        <v>1</v>
      </c>
      <c r="H4" s="6"/>
      <c r="I4" s="6"/>
      <c r="J4" s="30"/>
      <c r="K4" s="6">
        <v>1</v>
      </c>
      <c r="L4" s="6"/>
      <c r="M4" s="6"/>
      <c r="N4" s="6"/>
      <c r="O4" s="6"/>
      <c r="P4" s="6"/>
      <c r="Q4" s="2">
        <f>SUM(Table12123[[#This Row],[Pepsi]:[Column4]])</f>
        <v>2</v>
      </c>
      <c r="R4" s="2"/>
    </row>
    <row r="5" spans="1:18" x14ac:dyDescent="0.3">
      <c r="A5" s="62"/>
      <c r="B5" t="s">
        <v>6</v>
      </c>
      <c r="C5" s="6"/>
      <c r="D5" s="6">
        <v>1</v>
      </c>
      <c r="E5" s="6"/>
      <c r="F5" s="6"/>
      <c r="G5" s="6"/>
      <c r="H5" s="6"/>
      <c r="I5" s="6"/>
      <c r="J5" s="6"/>
      <c r="K5" s="6"/>
      <c r="L5" s="6"/>
      <c r="M5" s="6">
        <v>1</v>
      </c>
      <c r="N5" s="6"/>
      <c r="O5" s="6"/>
      <c r="P5" s="6"/>
      <c r="Q5" s="2">
        <f>SUM(Table12123[[#This Row],[Pepsi]:[Column4]])</f>
        <v>2</v>
      </c>
      <c r="R5" s="2"/>
    </row>
    <row r="6" spans="1:18" x14ac:dyDescent="0.3">
      <c r="A6" s="62"/>
      <c r="B6" t="s">
        <v>7</v>
      </c>
      <c r="C6" s="6"/>
      <c r="D6" s="6"/>
      <c r="E6" s="6"/>
      <c r="F6" s="6">
        <v>1</v>
      </c>
      <c r="G6" s="6"/>
      <c r="H6" s="6"/>
      <c r="I6" s="6">
        <v>0.5</v>
      </c>
      <c r="J6" s="6">
        <v>0.5</v>
      </c>
      <c r="K6" s="6"/>
      <c r="L6" s="6"/>
      <c r="M6" s="6"/>
      <c r="N6" s="29"/>
      <c r="O6" s="6"/>
      <c r="P6" s="6"/>
      <c r="Q6" s="2">
        <f>SUM(Table12123[[#This Row],[Pepsi]:[Column4]])</f>
        <v>2</v>
      </c>
      <c r="R6" s="2"/>
    </row>
    <row r="7" spans="1:18" x14ac:dyDescent="0.3">
      <c r="A7" s="62"/>
      <c r="B7" t="s">
        <v>81</v>
      </c>
      <c r="C7" s="6"/>
      <c r="D7" s="6"/>
      <c r="E7" s="6"/>
      <c r="F7" s="6">
        <v>1</v>
      </c>
      <c r="G7" s="6"/>
      <c r="H7" s="6"/>
      <c r="I7" s="6">
        <v>0.5</v>
      </c>
      <c r="J7" s="6">
        <v>0.5</v>
      </c>
      <c r="K7" s="6"/>
      <c r="L7" s="6"/>
      <c r="M7" s="6"/>
      <c r="N7" s="6"/>
      <c r="O7" s="6"/>
      <c r="P7" s="6"/>
      <c r="Q7" s="2">
        <f>SUM(Table12123[[#This Row],[Pepsi]:[Column4]])</f>
        <v>2</v>
      </c>
      <c r="R7" s="2"/>
    </row>
    <row r="8" spans="1:18" x14ac:dyDescent="0.3">
      <c r="A8" s="62"/>
      <c r="B8" t="s">
        <v>99</v>
      </c>
      <c r="C8" s="6">
        <v>1</v>
      </c>
      <c r="D8" s="6"/>
      <c r="E8" s="6"/>
      <c r="F8" s="6"/>
      <c r="G8" s="6"/>
      <c r="H8" s="6"/>
      <c r="I8" s="6"/>
      <c r="J8" s="30"/>
      <c r="K8" s="6"/>
      <c r="L8" s="6">
        <v>1</v>
      </c>
      <c r="M8" s="6"/>
      <c r="N8" s="6"/>
      <c r="O8" s="6"/>
      <c r="P8" s="6"/>
      <c r="Q8" s="2">
        <f>SUM(Table12123[[#This Row],[Pepsi]:[Column4]])</f>
        <v>2</v>
      </c>
      <c r="R8" s="2"/>
    </row>
    <row r="9" spans="1:18" x14ac:dyDescent="0.3">
      <c r="A9" s="62"/>
      <c r="B9" t="s">
        <v>90</v>
      </c>
      <c r="C9" s="6">
        <v>1</v>
      </c>
      <c r="D9" s="6"/>
      <c r="E9" s="6"/>
      <c r="F9" s="6"/>
      <c r="G9" s="6"/>
      <c r="H9" s="6"/>
      <c r="I9" s="6"/>
      <c r="J9" s="6"/>
      <c r="K9" s="6"/>
      <c r="L9" s="6"/>
      <c r="M9" s="6">
        <v>1</v>
      </c>
      <c r="N9" s="6"/>
      <c r="O9" s="6"/>
      <c r="P9" s="6"/>
      <c r="Q9" s="2">
        <f>SUM(Table12123[[#This Row],[Pepsi]:[Column4]])</f>
        <v>2</v>
      </c>
      <c r="R9" s="2"/>
    </row>
    <row r="10" spans="1:18" x14ac:dyDescent="0.3">
      <c r="A10" s="62"/>
      <c r="B10" t="s">
        <v>125</v>
      </c>
      <c r="C10" s="6"/>
      <c r="D10" s="6"/>
      <c r="E10" s="6"/>
      <c r="F10" s="6">
        <v>1</v>
      </c>
      <c r="G10" s="6"/>
      <c r="H10" s="6"/>
      <c r="I10" s="6"/>
      <c r="J10" s="6"/>
      <c r="K10" s="6"/>
      <c r="L10" s="6"/>
      <c r="M10" s="6"/>
      <c r="N10" s="6"/>
      <c r="O10" s="6">
        <v>1</v>
      </c>
      <c r="P10" s="6"/>
      <c r="Q10" s="2">
        <f>SUM(Table12123[[#This Row],[Pepsi]:[Column4]])</f>
        <v>2</v>
      </c>
      <c r="R10" s="2"/>
    </row>
    <row r="11" spans="1:18" x14ac:dyDescent="0.3">
      <c r="A11" s="62"/>
      <c r="B11" t="s">
        <v>126</v>
      </c>
      <c r="C11" s="6"/>
      <c r="D11" s="6"/>
      <c r="E11" s="6"/>
      <c r="F11" s="6">
        <v>1</v>
      </c>
      <c r="G11" s="6"/>
      <c r="H11" s="6"/>
      <c r="I11" s="6"/>
      <c r="J11" s="6"/>
      <c r="K11" s="29"/>
      <c r="L11" s="6"/>
      <c r="M11" s="6"/>
      <c r="N11" s="6">
        <v>1</v>
      </c>
      <c r="O11" s="6"/>
      <c r="P11" s="6"/>
      <c r="Q11" s="2">
        <f>SUM(Table12123[[#This Row],[Pepsi]:[Column4]])</f>
        <v>2</v>
      </c>
      <c r="R11" s="2"/>
    </row>
    <row r="12" spans="1:18" x14ac:dyDescent="0.3">
      <c r="A12" s="62"/>
      <c r="B12" t="s">
        <v>2</v>
      </c>
      <c r="C12" s="6"/>
      <c r="D12" s="6"/>
      <c r="E12" s="6">
        <v>1</v>
      </c>
      <c r="F12" s="6"/>
      <c r="G12" s="6"/>
      <c r="H12" s="6"/>
      <c r="I12" s="6"/>
      <c r="J12" s="6"/>
      <c r="K12" s="29"/>
      <c r="L12" s="6"/>
      <c r="M12" s="6"/>
      <c r="N12" s="6">
        <v>1</v>
      </c>
      <c r="O12" s="6"/>
      <c r="P12" s="31"/>
      <c r="Q12" s="32">
        <f>SUM(Table12123[[#This Row],[Pepsi]:[Column4]])</f>
        <v>2</v>
      </c>
      <c r="R12" s="2"/>
    </row>
    <row r="13" spans="1:18" x14ac:dyDescent="0.3">
      <c r="A13" s="62"/>
      <c r="B13" t="s">
        <v>64</v>
      </c>
      <c r="C13" s="6"/>
      <c r="D13" s="6"/>
      <c r="E13" s="6"/>
      <c r="F13" s="6">
        <v>1</v>
      </c>
      <c r="G13" s="6"/>
      <c r="H13" s="6"/>
      <c r="I13" s="6"/>
      <c r="J13" s="6"/>
      <c r="K13" s="6"/>
      <c r="L13" s="6">
        <v>1</v>
      </c>
      <c r="M13" s="6"/>
      <c r="N13" s="6"/>
      <c r="O13" s="6"/>
      <c r="P13" s="6"/>
      <c r="Q13" s="2">
        <f>SUM(Table12123[[#This Row],[Pepsi]:[Column4]])</f>
        <v>2</v>
      </c>
      <c r="R13" s="2"/>
    </row>
    <row r="14" spans="1:18" x14ac:dyDescent="0.3">
      <c r="B14" s="2" t="s">
        <v>26</v>
      </c>
      <c r="C14" s="2">
        <f t="shared" ref="C14:P14" si="0">SUM(C3:C13)</f>
        <v>2</v>
      </c>
      <c r="D14" s="2">
        <f t="shared" si="0"/>
        <v>1</v>
      </c>
      <c r="E14" s="2">
        <f t="shared" si="0"/>
        <v>1</v>
      </c>
      <c r="F14" s="2">
        <f t="shared" si="0"/>
        <v>6</v>
      </c>
      <c r="G14" s="2">
        <f t="shared" si="0"/>
        <v>1</v>
      </c>
      <c r="H14" s="2">
        <f t="shared" si="0"/>
        <v>1</v>
      </c>
      <c r="I14" s="2">
        <f t="shared" si="0"/>
        <v>1</v>
      </c>
      <c r="J14" s="2">
        <f t="shared" si="0"/>
        <v>1</v>
      </c>
      <c r="K14" s="2">
        <f t="shared" si="0"/>
        <v>1</v>
      </c>
      <c r="L14" s="2">
        <f t="shared" si="0"/>
        <v>3</v>
      </c>
      <c r="M14" s="2">
        <f t="shared" si="0"/>
        <v>2</v>
      </c>
      <c r="N14" s="2">
        <f t="shared" si="0"/>
        <v>2</v>
      </c>
      <c r="O14" s="2">
        <f t="shared" si="0"/>
        <v>1</v>
      </c>
      <c r="P14" s="2">
        <f t="shared" si="0"/>
        <v>0</v>
      </c>
      <c r="Q14" s="2">
        <f>SUM(Table12123[[#This Row],[Pepsi]:[Column4]])</f>
        <v>23</v>
      </c>
      <c r="R14" s="2"/>
    </row>
    <row r="16" spans="1:18" x14ac:dyDescent="0.3">
      <c r="B16" s="10" t="s">
        <v>29</v>
      </c>
      <c r="C16" s="5">
        <v>0.17</v>
      </c>
    </row>
    <row r="17" spans="1:22" x14ac:dyDescent="0.3">
      <c r="B17" s="10" t="s">
        <v>30</v>
      </c>
      <c r="C17" s="11">
        <v>110</v>
      </c>
      <c r="D17" s="11">
        <v>125</v>
      </c>
      <c r="E17" s="11">
        <v>110</v>
      </c>
      <c r="F17" s="11">
        <v>295</v>
      </c>
      <c r="G17" s="11">
        <v>110</v>
      </c>
      <c r="H17" s="11">
        <v>699</v>
      </c>
      <c r="I17" s="11">
        <v>750</v>
      </c>
      <c r="J17" s="11">
        <v>1095</v>
      </c>
      <c r="K17" s="11">
        <f>437.5*2</f>
        <v>875</v>
      </c>
      <c r="L17" s="11">
        <v>995</v>
      </c>
      <c r="M17" s="11">
        <v>995</v>
      </c>
      <c r="N17" s="11">
        <f>437.5*2</f>
        <v>875</v>
      </c>
      <c r="O17" s="11">
        <v>1195</v>
      </c>
      <c r="P17" s="11"/>
      <c r="Q17" s="11">
        <f>SUM(C17:P17)</f>
        <v>8229</v>
      </c>
      <c r="R17" s="11"/>
    </row>
    <row r="18" spans="1:22" x14ac:dyDescent="0.3">
      <c r="B18" s="10" t="s">
        <v>31</v>
      </c>
      <c r="C18">
        <f>C17*$C$16</f>
        <v>18.700000000000003</v>
      </c>
      <c r="D18">
        <f t="shared" ref="D18:P18" si="1">D17*$C$16</f>
        <v>21.25</v>
      </c>
      <c r="E18">
        <f t="shared" si="1"/>
        <v>18.700000000000003</v>
      </c>
      <c r="F18">
        <f t="shared" si="1"/>
        <v>50.150000000000006</v>
      </c>
      <c r="G18">
        <f t="shared" si="1"/>
        <v>18.700000000000003</v>
      </c>
      <c r="H18">
        <f t="shared" si="1"/>
        <v>118.83000000000001</v>
      </c>
      <c r="I18">
        <f t="shared" si="1"/>
        <v>127.50000000000001</v>
      </c>
      <c r="J18">
        <f t="shared" si="1"/>
        <v>186.15</v>
      </c>
      <c r="K18">
        <f t="shared" si="1"/>
        <v>148.75</v>
      </c>
      <c r="L18">
        <f t="shared" si="1"/>
        <v>169.15</v>
      </c>
      <c r="M18">
        <f t="shared" si="1"/>
        <v>169.15</v>
      </c>
      <c r="N18">
        <f t="shared" si="1"/>
        <v>148.75</v>
      </c>
      <c r="O18">
        <f t="shared" si="1"/>
        <v>203.15</v>
      </c>
      <c r="P18">
        <f t="shared" si="1"/>
        <v>0</v>
      </c>
      <c r="Q18" s="11">
        <f t="shared" ref="Q18" si="2">SUM(C18:P18)</f>
        <v>1398.93</v>
      </c>
      <c r="R18" s="11"/>
    </row>
    <row r="19" spans="1:22" x14ac:dyDescent="0.3">
      <c r="B19" s="10" t="s">
        <v>94</v>
      </c>
      <c r="C19" s="6">
        <f>437.5+497.5+497.5+437.5+437.5</f>
        <v>2307.5</v>
      </c>
    </row>
    <row r="20" spans="1:22" x14ac:dyDescent="0.3">
      <c r="B20" s="10" t="s">
        <v>124</v>
      </c>
      <c r="C20" s="12">
        <f>C17+C18</f>
        <v>128.69999999999999</v>
      </c>
      <c r="D20" s="12">
        <f t="shared" ref="D20:O20" si="3">D17+D18</f>
        <v>146.25</v>
      </c>
      <c r="E20" s="12">
        <f t="shared" si="3"/>
        <v>128.69999999999999</v>
      </c>
      <c r="F20" s="12">
        <f t="shared" si="3"/>
        <v>345.15</v>
      </c>
      <c r="G20" s="12">
        <f t="shared" si="3"/>
        <v>128.69999999999999</v>
      </c>
      <c r="H20" s="12">
        <f t="shared" si="3"/>
        <v>817.83</v>
      </c>
      <c r="I20" s="12">
        <f t="shared" si="3"/>
        <v>877.5</v>
      </c>
      <c r="J20" s="12">
        <f t="shared" si="3"/>
        <v>1281.1500000000001</v>
      </c>
      <c r="K20" s="12">
        <f t="shared" si="3"/>
        <v>1023.75</v>
      </c>
      <c r="L20" s="12">
        <f t="shared" si="3"/>
        <v>1164.1500000000001</v>
      </c>
      <c r="M20" s="12">
        <f t="shared" si="3"/>
        <v>1164.1500000000001</v>
      </c>
      <c r="N20" s="12">
        <f t="shared" si="3"/>
        <v>1023.75</v>
      </c>
      <c r="O20" s="12">
        <f t="shared" si="3"/>
        <v>1398.15</v>
      </c>
      <c r="P20" s="12" t="e">
        <f>P17+P18-#REF!</f>
        <v>#REF!</v>
      </c>
      <c r="Q20" s="11"/>
      <c r="R20" s="11"/>
    </row>
    <row r="21" spans="1:22" x14ac:dyDescent="0.3">
      <c r="B21" s="10" t="s">
        <v>138</v>
      </c>
      <c r="C21">
        <v>568.33000000000004</v>
      </c>
    </row>
    <row r="22" spans="1:22" x14ac:dyDescent="0.3">
      <c r="C22" s="60" t="s">
        <v>22</v>
      </c>
      <c r="D22" s="60"/>
      <c r="E22" s="60"/>
      <c r="F22" s="28"/>
      <c r="G22" s="28"/>
      <c r="H22" s="28"/>
      <c r="I22" s="61" t="s">
        <v>23</v>
      </c>
      <c r="J22" s="61"/>
      <c r="K22" s="61"/>
      <c r="L22" s="61"/>
      <c r="M22" s="61"/>
      <c r="N22" s="61"/>
      <c r="O22" s="61"/>
      <c r="P22" s="25"/>
    </row>
    <row r="23" spans="1:22" ht="43.2" x14ac:dyDescent="0.3">
      <c r="B23" s="1" t="s">
        <v>25</v>
      </c>
      <c r="C23" s="1" t="s">
        <v>127</v>
      </c>
      <c r="D23" s="1" t="s">
        <v>11</v>
      </c>
      <c r="E23" s="1" t="s">
        <v>70</v>
      </c>
      <c r="F23" s="1" t="s">
        <v>14</v>
      </c>
      <c r="G23" s="1" t="s">
        <v>128</v>
      </c>
      <c r="H23" s="1" t="s">
        <v>129</v>
      </c>
      <c r="I23" s="1" t="s">
        <v>130</v>
      </c>
      <c r="J23" s="1" t="s">
        <v>131</v>
      </c>
      <c r="K23" s="1" t="s">
        <v>132</v>
      </c>
      <c r="L23" s="1" t="s">
        <v>133</v>
      </c>
      <c r="M23" s="1" t="s">
        <v>134</v>
      </c>
      <c r="N23" s="1" t="s">
        <v>135</v>
      </c>
      <c r="O23" s="1" t="s">
        <v>136</v>
      </c>
      <c r="P23" s="1" t="s">
        <v>58</v>
      </c>
      <c r="Q23" s="3" t="s">
        <v>26</v>
      </c>
      <c r="R23" s="3" t="s">
        <v>138</v>
      </c>
      <c r="S23" s="1" t="s">
        <v>137</v>
      </c>
      <c r="T23" s="8" t="s">
        <v>34</v>
      </c>
      <c r="U23" s="1" t="s">
        <v>94</v>
      </c>
      <c r="V23" s="1" t="s">
        <v>40</v>
      </c>
    </row>
    <row r="24" spans="1:22" x14ac:dyDescent="0.3">
      <c r="A24" s="62" t="s">
        <v>24</v>
      </c>
      <c r="B24" t="s">
        <v>1</v>
      </c>
      <c r="C24" s="6"/>
      <c r="D24" s="6"/>
      <c r="E24" s="6"/>
      <c r="F24" s="6">
        <f t="shared" ref="F24:L24" si="4">F3*F$20</f>
        <v>345.15</v>
      </c>
      <c r="G24" s="6"/>
      <c r="H24" s="6">
        <f t="shared" si="4"/>
        <v>817.83</v>
      </c>
      <c r="I24" s="6"/>
      <c r="J24" s="6"/>
      <c r="K24" s="6"/>
      <c r="L24" s="6">
        <f t="shared" si="4"/>
        <v>1164.1500000000001</v>
      </c>
      <c r="M24" s="6"/>
      <c r="N24" s="6"/>
      <c r="O24" s="6"/>
      <c r="P24" s="6"/>
      <c r="Q24" s="7">
        <f>SUM(Table132224[[#This Row],[Pepsi]:[teriyaki chicken]])</f>
        <v>2327.13</v>
      </c>
      <c r="R24" s="7">
        <f>568.33/10</f>
        <v>56.833000000000006</v>
      </c>
      <c r="S24" s="6">
        <f t="shared" ref="S24:S34" si="5">$Q$29/10</f>
        <v>129.28500000000003</v>
      </c>
      <c r="T24" s="7">
        <f>Table132224[[#This Row],[Total]]+Table132224[[#This Row],[Service charges]]+Table132224[[#This Row],[Hamza Sharing Total]]-U24</f>
        <v>2282.498</v>
      </c>
      <c r="U24">
        <f>$C$19/10</f>
        <v>230.75</v>
      </c>
    </row>
    <row r="25" spans="1:22" x14ac:dyDescent="0.3">
      <c r="A25" s="62"/>
      <c r="B25" t="s">
        <v>9</v>
      </c>
      <c r="C25" s="6"/>
      <c r="D25" s="6"/>
      <c r="E25" s="6"/>
      <c r="F25" s="6"/>
      <c r="G25" s="6">
        <f t="shared" ref="G25:K25" si="6">G4*G$20</f>
        <v>128.69999999999999</v>
      </c>
      <c r="H25" s="6"/>
      <c r="I25" s="6"/>
      <c r="J25" s="6"/>
      <c r="K25" s="6">
        <f t="shared" si="6"/>
        <v>1023.75</v>
      </c>
      <c r="L25" s="6"/>
      <c r="M25" s="6"/>
      <c r="N25" s="6"/>
      <c r="O25" s="6"/>
      <c r="P25" s="6"/>
      <c r="Q25" s="7">
        <f>SUM(Table132224[[#This Row],[Pepsi]:[teriyaki chicken]])</f>
        <v>1152.45</v>
      </c>
      <c r="R25" s="7">
        <f t="shared" ref="R25:R34" si="7">568.33/10</f>
        <v>56.833000000000006</v>
      </c>
      <c r="S25" s="6">
        <f t="shared" si="5"/>
        <v>129.28500000000003</v>
      </c>
      <c r="T25" s="7">
        <f>Table132224[[#This Row],[Total]]+Table132224[[#This Row],[Service charges]]+Table132224[[#This Row],[Hamza Sharing Total]]-U25</f>
        <v>1107.8180000000002</v>
      </c>
      <c r="U25">
        <f t="shared" ref="U25:U34" si="8">$C$19/10</f>
        <v>230.75</v>
      </c>
    </row>
    <row r="26" spans="1:22" x14ac:dyDescent="0.3">
      <c r="A26" s="62"/>
      <c r="B26" t="s">
        <v>6</v>
      </c>
      <c r="C26" s="6"/>
      <c r="D26" s="6">
        <f t="shared" ref="D26:M26" si="9">D5*D$20</f>
        <v>146.25</v>
      </c>
      <c r="E26" s="6"/>
      <c r="F26" s="6"/>
      <c r="G26" s="6"/>
      <c r="H26" s="6"/>
      <c r="I26" s="6"/>
      <c r="J26" s="6"/>
      <c r="K26" s="6"/>
      <c r="L26" s="6"/>
      <c r="M26" s="6">
        <f t="shared" si="9"/>
        <v>1164.1500000000001</v>
      </c>
      <c r="N26" s="6"/>
      <c r="O26" s="6"/>
      <c r="P26" s="6" t="e">
        <f>P5*P$20</f>
        <v>#REF!</v>
      </c>
      <c r="Q26" s="7">
        <f>SUM(Table132224[[#This Row],[Pepsi]:[teriyaki chicken]])</f>
        <v>1310.4000000000001</v>
      </c>
      <c r="R26" s="7">
        <f t="shared" si="7"/>
        <v>56.833000000000006</v>
      </c>
      <c r="S26" s="6">
        <f t="shared" si="5"/>
        <v>129.28500000000003</v>
      </c>
      <c r="T26" s="7">
        <f>Table132224[[#This Row],[Total]]+Table132224[[#This Row],[Service charges]]+Table132224[[#This Row],[Hamza Sharing Total]]-U26</f>
        <v>1265.7680000000003</v>
      </c>
      <c r="U26">
        <f t="shared" si="8"/>
        <v>230.75</v>
      </c>
    </row>
    <row r="27" spans="1:22" x14ac:dyDescent="0.3">
      <c r="A27" s="62"/>
      <c r="B27" t="s">
        <v>7</v>
      </c>
      <c r="C27" s="6"/>
      <c r="D27" s="6"/>
      <c r="E27" s="6"/>
      <c r="F27" s="6">
        <f t="shared" ref="F27:J27" si="10">F6*F$20</f>
        <v>345.15</v>
      </c>
      <c r="G27" s="6"/>
      <c r="H27" s="6"/>
      <c r="I27" s="6">
        <f t="shared" si="10"/>
        <v>438.75</v>
      </c>
      <c r="J27" s="6">
        <f t="shared" si="10"/>
        <v>640.57500000000005</v>
      </c>
      <c r="K27" s="6"/>
      <c r="L27" s="6"/>
      <c r="M27" s="6"/>
      <c r="N27" s="6"/>
      <c r="O27" s="6"/>
      <c r="P27" s="6"/>
      <c r="Q27" s="7">
        <f>SUM(Table132224[[#This Row],[Pepsi]:[teriyaki chicken]])</f>
        <v>1424.4749999999999</v>
      </c>
      <c r="R27" s="7">
        <f t="shared" si="7"/>
        <v>56.833000000000006</v>
      </c>
      <c r="S27" s="6">
        <f t="shared" si="5"/>
        <v>129.28500000000003</v>
      </c>
      <c r="T27" s="7">
        <f>Table132224[[#This Row],[Total]]+Table132224[[#This Row],[Service charges]]+Table132224[[#This Row],[Hamza Sharing Total]]-U27</f>
        <v>1379.8430000000001</v>
      </c>
      <c r="U27">
        <f t="shared" si="8"/>
        <v>230.75</v>
      </c>
    </row>
    <row r="28" spans="1:22" x14ac:dyDescent="0.3">
      <c r="A28" s="62"/>
      <c r="B28" t="s">
        <v>81</v>
      </c>
      <c r="C28" s="6"/>
      <c r="D28" s="6"/>
      <c r="E28" s="6"/>
      <c r="F28" s="6">
        <f t="shared" ref="F28:J28" si="11">F7*F$20</f>
        <v>345.15</v>
      </c>
      <c r="G28" s="6"/>
      <c r="H28" s="6"/>
      <c r="I28" s="6">
        <f t="shared" si="11"/>
        <v>438.75</v>
      </c>
      <c r="J28" s="6">
        <f t="shared" si="11"/>
        <v>640.57500000000005</v>
      </c>
      <c r="K28" s="6"/>
      <c r="L28" s="6"/>
      <c r="M28" s="6"/>
      <c r="N28" s="6"/>
      <c r="O28" s="6"/>
      <c r="P28" s="6"/>
      <c r="Q28" s="7">
        <f>SUM(Table132224[[#This Row],[Pepsi]:[teriyaki chicken]])</f>
        <v>1424.4749999999999</v>
      </c>
      <c r="R28" s="7">
        <f t="shared" si="7"/>
        <v>56.833000000000006</v>
      </c>
      <c r="S28" s="6">
        <f t="shared" si="5"/>
        <v>129.28500000000003</v>
      </c>
      <c r="T28" s="7">
        <f>Table132224[[#This Row],[Total]]+Table132224[[#This Row],[Service charges]]+Table132224[[#This Row],[Hamza Sharing Total]]-U28</f>
        <v>1379.8430000000001</v>
      </c>
      <c r="U28">
        <f t="shared" si="8"/>
        <v>230.75</v>
      </c>
    </row>
    <row r="29" spans="1:22" x14ac:dyDescent="0.3">
      <c r="A29" s="62"/>
      <c r="B29" s="4" t="s">
        <v>99</v>
      </c>
      <c r="C29" s="29">
        <f t="shared" ref="C29:L29" si="12">C8*C$20</f>
        <v>128.69999999999999</v>
      </c>
      <c r="D29" s="29"/>
      <c r="E29" s="29"/>
      <c r="F29" s="29"/>
      <c r="G29" s="29"/>
      <c r="H29" s="29"/>
      <c r="I29" s="29"/>
      <c r="J29" s="29"/>
      <c r="K29" s="29"/>
      <c r="L29" s="29">
        <f t="shared" si="12"/>
        <v>1164.1500000000001</v>
      </c>
      <c r="M29" s="29"/>
      <c r="N29" s="29"/>
      <c r="O29" s="29"/>
      <c r="P29" s="29" t="e">
        <f>P8*P$20</f>
        <v>#REF!</v>
      </c>
      <c r="Q29" s="33">
        <f>SUM(Table132224[[#This Row],[Pepsi]:[teriyaki chicken]])</f>
        <v>1292.8500000000001</v>
      </c>
      <c r="R29" s="7"/>
      <c r="S29" s="6"/>
      <c r="T29" s="7"/>
    </row>
    <row r="30" spans="1:22" x14ac:dyDescent="0.3">
      <c r="A30" s="62"/>
      <c r="B30" t="s">
        <v>90</v>
      </c>
      <c r="C30" s="6">
        <f t="shared" ref="C30:M30" si="13">C9*C$20</f>
        <v>128.69999999999999</v>
      </c>
      <c r="D30" s="6"/>
      <c r="E30" s="6"/>
      <c r="F30" s="6"/>
      <c r="G30" s="6"/>
      <c r="H30" s="6"/>
      <c r="I30" s="6"/>
      <c r="J30" s="6"/>
      <c r="K30" s="6"/>
      <c r="L30" s="6"/>
      <c r="M30" s="6">
        <f t="shared" si="13"/>
        <v>1164.1500000000001</v>
      </c>
      <c r="N30" s="6"/>
      <c r="O30" s="6"/>
      <c r="P30" s="6"/>
      <c r="Q30" s="7">
        <f>SUM(Table132224[[#This Row],[Pepsi]:[teriyaki chicken]])</f>
        <v>1292.8500000000001</v>
      </c>
      <c r="R30" s="7">
        <f t="shared" si="7"/>
        <v>56.833000000000006</v>
      </c>
      <c r="S30" s="6">
        <f t="shared" si="5"/>
        <v>129.28500000000003</v>
      </c>
      <c r="T30" s="7">
        <f>Table132224[[#This Row],[Total]]+Table132224[[#This Row],[Service charges]]+Table132224[[#This Row],[Hamza Sharing Total]]-U30</f>
        <v>1248.2180000000003</v>
      </c>
      <c r="U30">
        <f t="shared" si="8"/>
        <v>230.75</v>
      </c>
    </row>
    <row r="31" spans="1:22" x14ac:dyDescent="0.3">
      <c r="A31" s="62"/>
      <c r="B31" t="s">
        <v>125</v>
      </c>
      <c r="C31" s="6"/>
      <c r="D31" s="6"/>
      <c r="E31" s="6"/>
      <c r="F31" s="6">
        <f t="shared" ref="F31:O31" si="14">F10*F$20</f>
        <v>345.15</v>
      </c>
      <c r="G31" s="6"/>
      <c r="H31" s="6"/>
      <c r="I31" s="6"/>
      <c r="J31" s="6"/>
      <c r="K31" s="6"/>
      <c r="L31" s="6"/>
      <c r="M31" s="6"/>
      <c r="N31" s="6"/>
      <c r="O31" s="6">
        <f t="shared" si="14"/>
        <v>1398.15</v>
      </c>
      <c r="P31" s="6" t="e">
        <f>P10*P$20</f>
        <v>#REF!</v>
      </c>
      <c r="Q31" s="7">
        <f>SUM(Table132224[[#This Row],[Pepsi]:[teriyaki chicken]])</f>
        <v>1743.3000000000002</v>
      </c>
      <c r="R31" s="7">
        <f t="shared" si="7"/>
        <v>56.833000000000006</v>
      </c>
      <c r="S31" s="6">
        <f t="shared" si="5"/>
        <v>129.28500000000003</v>
      </c>
      <c r="T31" s="7">
        <f>Table132224[[#This Row],[Total]]+Table132224[[#This Row],[Service charges]]+Table132224[[#This Row],[Hamza Sharing Total]]-U31</f>
        <v>1698.6680000000003</v>
      </c>
      <c r="U31">
        <f t="shared" si="8"/>
        <v>230.75</v>
      </c>
    </row>
    <row r="32" spans="1:22" x14ac:dyDescent="0.3">
      <c r="A32" s="62"/>
      <c r="B32" t="s">
        <v>126</v>
      </c>
      <c r="C32" s="6"/>
      <c r="D32" s="6"/>
      <c r="E32" s="6"/>
      <c r="F32" s="6">
        <f t="shared" ref="F32:N32" si="15">F11*F$20</f>
        <v>345.15</v>
      </c>
      <c r="G32" s="6"/>
      <c r="H32" s="6"/>
      <c r="I32" s="6"/>
      <c r="J32" s="6"/>
      <c r="K32" s="6"/>
      <c r="L32" s="6"/>
      <c r="M32" s="6"/>
      <c r="N32" s="6">
        <f t="shared" si="15"/>
        <v>1023.75</v>
      </c>
      <c r="O32" s="6"/>
      <c r="P32" s="6"/>
      <c r="Q32" s="7">
        <f>SUM(Table132224[[#This Row],[Pepsi]:[teriyaki chicken]])</f>
        <v>1368.9</v>
      </c>
      <c r="R32" s="7">
        <f t="shared" si="7"/>
        <v>56.833000000000006</v>
      </c>
      <c r="S32" s="6">
        <f t="shared" si="5"/>
        <v>129.28500000000003</v>
      </c>
      <c r="T32" s="7">
        <f>Table132224[[#This Row],[Total]]+Table132224[[#This Row],[Service charges]]+Table132224[[#This Row],[Hamza Sharing Total]]-U32</f>
        <v>1324.2680000000003</v>
      </c>
      <c r="U32">
        <f t="shared" si="8"/>
        <v>230.75</v>
      </c>
    </row>
    <row r="33" spans="1:22" x14ac:dyDescent="0.3">
      <c r="A33" s="62"/>
      <c r="B33" t="s">
        <v>2</v>
      </c>
      <c r="C33" s="6"/>
      <c r="D33" s="6"/>
      <c r="E33" s="6">
        <f t="shared" ref="E33:N33" si="16">E12*E$20</f>
        <v>128.69999999999999</v>
      </c>
      <c r="F33" s="6"/>
      <c r="G33" s="6"/>
      <c r="H33" s="6"/>
      <c r="I33" s="6"/>
      <c r="J33" s="6"/>
      <c r="K33" s="6"/>
      <c r="L33" s="6"/>
      <c r="M33" s="6"/>
      <c r="N33" s="6">
        <f t="shared" si="16"/>
        <v>1023.75</v>
      </c>
      <c r="O33" s="6"/>
      <c r="P33" s="6"/>
      <c r="Q33" s="7">
        <f>SUM(Table132224[[#This Row],[Pepsi]:[teriyaki chicken]])</f>
        <v>1152.45</v>
      </c>
      <c r="R33" s="7">
        <f t="shared" si="7"/>
        <v>56.833000000000006</v>
      </c>
      <c r="S33" s="6">
        <f t="shared" si="5"/>
        <v>129.28500000000003</v>
      </c>
      <c r="T33" s="7">
        <f>Table132224[[#This Row],[Total]]+Table132224[[#This Row],[Service charges]]+Table132224[[#This Row],[Hamza Sharing Total]]-U33</f>
        <v>1107.8180000000002</v>
      </c>
      <c r="U33">
        <f t="shared" si="8"/>
        <v>230.75</v>
      </c>
      <c r="V33" s="31"/>
    </row>
    <row r="34" spans="1:22" x14ac:dyDescent="0.3">
      <c r="A34" s="62"/>
      <c r="B34" t="s">
        <v>64</v>
      </c>
      <c r="C34" s="6"/>
      <c r="D34" s="6"/>
      <c r="E34" s="6"/>
      <c r="F34" s="6">
        <f t="shared" ref="F34:L34" si="17">F13*F$20</f>
        <v>345.15</v>
      </c>
      <c r="G34" s="6"/>
      <c r="H34" s="6"/>
      <c r="I34" s="6"/>
      <c r="J34" s="6"/>
      <c r="K34" s="6"/>
      <c r="L34" s="6">
        <f t="shared" si="17"/>
        <v>1164.1500000000001</v>
      </c>
      <c r="M34" s="6"/>
      <c r="N34" s="6"/>
      <c r="O34" s="6"/>
      <c r="P34" s="6" t="e">
        <f>P13*P$20</f>
        <v>#REF!</v>
      </c>
      <c r="Q34" s="7">
        <f>SUM(Table132224[[#This Row],[Pepsi]:[teriyaki chicken]])</f>
        <v>1509.3000000000002</v>
      </c>
      <c r="R34" s="7">
        <f t="shared" si="7"/>
        <v>56.833000000000006</v>
      </c>
      <c r="S34" s="6">
        <f t="shared" si="5"/>
        <v>129.28500000000003</v>
      </c>
      <c r="T34" s="7">
        <f>Table132224[[#This Row],[Total]]+Table132224[[#This Row],[Service charges]]+Table132224[[#This Row],[Hamza Sharing Total]]-U34</f>
        <v>1464.6680000000003</v>
      </c>
      <c r="U34">
        <f t="shared" si="8"/>
        <v>230.75</v>
      </c>
    </row>
    <row r="35" spans="1:22" x14ac:dyDescent="0.3">
      <c r="B35" s="2" t="s">
        <v>26</v>
      </c>
      <c r="C35" s="2">
        <f>SUM(C24:C34)</f>
        <v>257.39999999999998</v>
      </c>
      <c r="D35" s="2">
        <f t="shared" ref="D35:P35" si="18">SUM(D24:D34)</f>
        <v>146.25</v>
      </c>
      <c r="E35" s="2">
        <f t="shared" si="18"/>
        <v>128.69999999999999</v>
      </c>
      <c r="F35" s="2">
        <f t="shared" si="18"/>
        <v>2070.9</v>
      </c>
      <c r="G35" s="2">
        <f t="shared" si="18"/>
        <v>128.69999999999999</v>
      </c>
      <c r="H35" s="2">
        <f t="shared" si="18"/>
        <v>817.83</v>
      </c>
      <c r="I35" s="2">
        <f t="shared" si="18"/>
        <v>877.5</v>
      </c>
      <c r="J35" s="2">
        <f t="shared" si="18"/>
        <v>1281.1500000000001</v>
      </c>
      <c r="K35" s="2">
        <f t="shared" si="18"/>
        <v>1023.75</v>
      </c>
      <c r="L35" s="2">
        <f t="shared" si="18"/>
        <v>3492.4500000000003</v>
      </c>
      <c r="M35" s="2">
        <f t="shared" si="18"/>
        <v>2328.3000000000002</v>
      </c>
      <c r="N35" s="2">
        <f t="shared" si="18"/>
        <v>2047.5</v>
      </c>
      <c r="O35" s="2">
        <f t="shared" si="18"/>
        <v>1398.15</v>
      </c>
      <c r="P35" s="2" t="e">
        <f t="shared" si="18"/>
        <v>#REF!</v>
      </c>
      <c r="Q35" s="7">
        <f>SUM(Table132224[[#This Row],[Pepsi]:[teriyaki chicken]])</f>
        <v>15998.58</v>
      </c>
      <c r="R35" s="7"/>
      <c r="S35" s="6"/>
      <c r="T35" s="9">
        <f t="shared" ref="T35:U35" si="19">SUM(T24:T34)</f>
        <v>14259.410000000002</v>
      </c>
      <c r="U35" s="9">
        <f t="shared" si="19"/>
        <v>2307.5</v>
      </c>
    </row>
  </sheetData>
  <mergeCells count="6">
    <mergeCell ref="A24:A34"/>
    <mergeCell ref="C1:E1"/>
    <mergeCell ref="I1:O1"/>
    <mergeCell ref="A3:A13"/>
    <mergeCell ref="C22:E22"/>
    <mergeCell ref="I22:O22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2282-A831-405E-91D1-D35F797CFC6D}">
  <dimension ref="A1:Q36"/>
  <sheetViews>
    <sheetView tabSelected="1" topLeftCell="A10" workbookViewId="0">
      <selection activeCell="N28" sqref="N28"/>
    </sheetView>
  </sheetViews>
  <sheetFormatPr defaultRowHeight="14.4" x14ac:dyDescent="0.3"/>
  <cols>
    <col min="2" max="2" width="11.21875" bestFit="1" customWidth="1"/>
    <col min="3" max="3" width="6.33203125" customWidth="1"/>
    <col min="4" max="4" width="7.33203125" customWidth="1"/>
    <col min="5" max="5" width="7.88671875" customWidth="1"/>
    <col min="6" max="6" width="9.33203125" customWidth="1"/>
    <col min="7" max="7" width="7" customWidth="1"/>
    <col min="8" max="8" width="9.109375" customWidth="1"/>
    <col min="9" max="9" width="8.44140625" customWidth="1"/>
    <col min="10" max="10" width="9.109375" customWidth="1"/>
    <col min="11" max="11" width="12.6640625" bestFit="1" customWidth="1"/>
    <col min="12" max="12" width="12" bestFit="1" customWidth="1"/>
    <col min="13" max="13" width="8.5546875" customWidth="1"/>
    <col min="14" max="14" width="8.6640625" customWidth="1"/>
    <col min="15" max="15" width="10.88671875" customWidth="1"/>
    <col min="16" max="16" width="8.88671875" customWidth="1"/>
    <col min="17" max="17" width="10" bestFit="1" customWidth="1"/>
    <col min="18" max="18" width="9.44140625" bestFit="1" customWidth="1"/>
    <col min="19" max="19" width="10.5546875" bestFit="1" customWidth="1"/>
  </cols>
  <sheetData>
    <row r="1" spans="1:12" x14ac:dyDescent="0.3">
      <c r="C1" s="60" t="s">
        <v>22</v>
      </c>
      <c r="D1" s="60"/>
      <c r="E1" s="60"/>
      <c r="F1" s="61" t="s">
        <v>23</v>
      </c>
      <c r="G1" s="61"/>
      <c r="H1" s="61"/>
      <c r="I1" s="61"/>
      <c r="J1" s="61"/>
      <c r="K1" s="61"/>
      <c r="L1" s="61"/>
    </row>
    <row r="2" spans="1:12" ht="61.5" customHeight="1" x14ac:dyDescent="0.3">
      <c r="B2" s="1" t="s">
        <v>25</v>
      </c>
      <c r="C2" s="1" t="s">
        <v>10</v>
      </c>
      <c r="D2" s="1" t="s">
        <v>11</v>
      </c>
      <c r="E2" s="1" t="s">
        <v>27</v>
      </c>
      <c r="F2" s="1" t="s">
        <v>272</v>
      </c>
      <c r="G2" s="1" t="s">
        <v>273</v>
      </c>
      <c r="H2" s="1" t="s">
        <v>274</v>
      </c>
      <c r="I2" s="1" t="s">
        <v>275</v>
      </c>
      <c r="J2" s="1" t="s">
        <v>276</v>
      </c>
      <c r="K2" s="1" t="s">
        <v>277</v>
      </c>
      <c r="L2" s="3" t="s">
        <v>26</v>
      </c>
    </row>
    <row r="3" spans="1:12" x14ac:dyDescent="0.3">
      <c r="A3" s="62" t="s">
        <v>24</v>
      </c>
      <c r="B3" t="s">
        <v>0</v>
      </c>
      <c r="D3">
        <v>1</v>
      </c>
      <c r="E3">
        <f>3/13</f>
        <v>0.23076923076923078</v>
      </c>
      <c r="F3">
        <v>1</v>
      </c>
      <c r="L3" s="2">
        <f>SUM(Table152[[#This Row],[Coke]:[Parmesan chk]])</f>
        <v>2.2307692307692308</v>
      </c>
    </row>
    <row r="4" spans="1:12" x14ac:dyDescent="0.3">
      <c r="A4" s="62"/>
      <c r="B4" t="s">
        <v>1</v>
      </c>
      <c r="C4">
        <v>1</v>
      </c>
      <c r="E4">
        <f t="shared" ref="E4:E15" si="0">3/13</f>
        <v>0.23076923076923078</v>
      </c>
      <c r="H4">
        <v>1</v>
      </c>
      <c r="L4" s="2">
        <f>SUM(Table152[[#This Row],[Coke]:[Parmesan chk]])</f>
        <v>2.2307692307692308</v>
      </c>
    </row>
    <row r="5" spans="1:12" x14ac:dyDescent="0.3">
      <c r="A5" s="62"/>
      <c r="B5" t="s">
        <v>2</v>
      </c>
      <c r="C5">
        <v>1</v>
      </c>
      <c r="E5">
        <f t="shared" si="0"/>
        <v>0.23076923076923078</v>
      </c>
      <c r="G5">
        <v>1</v>
      </c>
      <c r="L5" s="2">
        <f>SUM(Table152[[#This Row],[Coke]:[Parmesan chk]])</f>
        <v>2.2307692307692308</v>
      </c>
    </row>
    <row r="6" spans="1:12" x14ac:dyDescent="0.3">
      <c r="A6" s="62"/>
      <c r="B6" t="s">
        <v>247</v>
      </c>
      <c r="E6">
        <f t="shared" si="0"/>
        <v>0.23076923076923078</v>
      </c>
      <c r="J6">
        <v>0.5</v>
      </c>
      <c r="K6" s="4"/>
      <c r="L6" s="2">
        <f>SUM(Table152[[#This Row],[Coke]:[Parmesan chk]])</f>
        <v>0.73076923076923084</v>
      </c>
    </row>
    <row r="7" spans="1:12" x14ac:dyDescent="0.3">
      <c r="A7" s="62"/>
      <c r="B7" t="s">
        <v>244</v>
      </c>
      <c r="E7">
        <f t="shared" si="0"/>
        <v>0.23076923076923078</v>
      </c>
      <c r="J7">
        <v>0.5</v>
      </c>
      <c r="L7" s="2">
        <f>SUM(Table152[[#This Row],[Coke]:[Parmesan chk]])</f>
        <v>0.73076923076923084</v>
      </c>
    </row>
    <row r="8" spans="1:12" x14ac:dyDescent="0.3">
      <c r="A8" s="62"/>
      <c r="B8" t="s">
        <v>271</v>
      </c>
      <c r="E8">
        <f t="shared" si="0"/>
        <v>0.23076923076923078</v>
      </c>
      <c r="K8">
        <v>0.5</v>
      </c>
      <c r="L8" s="2">
        <f>SUM(Table152[[#This Row],[Coke]:[Parmesan chk]])</f>
        <v>0.73076923076923084</v>
      </c>
    </row>
    <row r="9" spans="1:12" x14ac:dyDescent="0.3">
      <c r="A9" s="62"/>
      <c r="B9" s="4" t="s">
        <v>9</v>
      </c>
      <c r="C9" s="4"/>
      <c r="D9" s="4"/>
      <c r="E9">
        <f t="shared" si="0"/>
        <v>0.23076923076923078</v>
      </c>
      <c r="F9" s="4"/>
      <c r="G9" s="4"/>
      <c r="H9" s="4"/>
      <c r="I9" s="4">
        <v>1</v>
      </c>
      <c r="J9" s="4"/>
      <c r="K9" s="4"/>
      <c r="L9" s="65">
        <f>SUM(Table152[[#This Row],[Coke]:[Parmesan chk]])</f>
        <v>1.2307692307692308</v>
      </c>
    </row>
    <row r="10" spans="1:12" x14ac:dyDescent="0.3">
      <c r="A10" s="62"/>
      <c r="B10" t="s">
        <v>216</v>
      </c>
      <c r="C10">
        <v>1</v>
      </c>
      <c r="E10">
        <f t="shared" si="0"/>
        <v>0.23076923076923078</v>
      </c>
      <c r="K10">
        <v>0.5</v>
      </c>
      <c r="L10" s="2">
        <f>SUM(Table152[[#This Row],[Coke]:[Parmesan chk]])</f>
        <v>1.7307692307692308</v>
      </c>
    </row>
    <row r="11" spans="1:12" x14ac:dyDescent="0.3">
      <c r="A11" s="62"/>
      <c r="B11" t="s">
        <v>7</v>
      </c>
      <c r="E11">
        <f t="shared" si="0"/>
        <v>0.23076923076923078</v>
      </c>
      <c r="F11">
        <v>1</v>
      </c>
      <c r="H11" s="4"/>
      <c r="L11" s="2">
        <f>SUM(Table152[[#This Row],[Coke]:[Parmesan chk]])</f>
        <v>1.2307692307692308</v>
      </c>
    </row>
    <row r="12" spans="1:12" x14ac:dyDescent="0.3">
      <c r="A12" s="62"/>
      <c r="B12" t="s">
        <v>180</v>
      </c>
      <c r="C12">
        <v>1</v>
      </c>
      <c r="E12">
        <f t="shared" si="0"/>
        <v>0.23076923076923078</v>
      </c>
      <c r="G12">
        <v>1</v>
      </c>
      <c r="H12" s="4"/>
      <c r="L12" s="32">
        <f>SUM(Table152[[#This Row],[Coke]:[Parmesan chk]])</f>
        <v>2.2307692307692308</v>
      </c>
    </row>
    <row r="13" spans="1:12" x14ac:dyDescent="0.3">
      <c r="A13" s="62"/>
      <c r="B13" t="s">
        <v>269</v>
      </c>
      <c r="E13">
        <f t="shared" si="0"/>
        <v>0.23076923076923078</v>
      </c>
      <c r="H13" s="4"/>
      <c r="J13">
        <v>0.5</v>
      </c>
      <c r="L13" s="32">
        <f>SUM(Table152[[#This Row],[Coke]:[Parmesan chk]])</f>
        <v>0.73076923076923084</v>
      </c>
    </row>
    <row r="14" spans="1:12" x14ac:dyDescent="0.3">
      <c r="A14" s="62"/>
      <c r="B14" t="s">
        <v>270</v>
      </c>
      <c r="E14">
        <f t="shared" si="0"/>
        <v>0.23076923076923078</v>
      </c>
      <c r="H14" s="4"/>
      <c r="J14">
        <v>0.5</v>
      </c>
      <c r="L14" s="32">
        <f>SUM(Table152[[#This Row],[Coke]:[Parmesan chk]])</f>
        <v>0.73076923076923084</v>
      </c>
    </row>
    <row r="15" spans="1:12" x14ac:dyDescent="0.3">
      <c r="A15" s="62"/>
      <c r="B15" t="s">
        <v>268</v>
      </c>
      <c r="C15">
        <v>1</v>
      </c>
      <c r="E15">
        <f t="shared" si="0"/>
        <v>0.23076923076923078</v>
      </c>
      <c r="G15">
        <v>1</v>
      </c>
      <c r="L15" s="2">
        <f>SUM(Table152[[#This Row],[Coke]:[Parmesan chk]])</f>
        <v>2.2307692307692308</v>
      </c>
    </row>
    <row r="16" spans="1:12" x14ac:dyDescent="0.3">
      <c r="B16" s="2" t="s">
        <v>26</v>
      </c>
      <c r="C16" s="2">
        <f>SUM(C3:C15)</f>
        <v>5</v>
      </c>
      <c r="D16" s="2">
        <f t="shared" ref="D16:K16" si="1">SUM(D3:D15)</f>
        <v>1</v>
      </c>
      <c r="E16" s="2">
        <f t="shared" si="1"/>
        <v>3.0000000000000004</v>
      </c>
      <c r="F16" s="2">
        <f t="shared" si="1"/>
        <v>2</v>
      </c>
      <c r="G16" s="2">
        <f t="shared" si="1"/>
        <v>3</v>
      </c>
      <c r="H16" s="2">
        <f t="shared" si="1"/>
        <v>1</v>
      </c>
      <c r="I16" s="2">
        <f t="shared" si="1"/>
        <v>1</v>
      </c>
      <c r="J16" s="2">
        <f t="shared" si="1"/>
        <v>2</v>
      </c>
      <c r="K16" s="2">
        <f t="shared" si="1"/>
        <v>1</v>
      </c>
      <c r="L16" s="2">
        <f>SUM(Table152[[#This Row],[Coke]:[Parmesan chk]])</f>
        <v>19</v>
      </c>
    </row>
    <row r="18" spans="1:17" x14ac:dyDescent="0.3">
      <c r="B18" s="10" t="s">
        <v>30</v>
      </c>
      <c r="C18" s="11">
        <v>120</v>
      </c>
      <c r="D18" s="11">
        <v>150</v>
      </c>
      <c r="E18" s="11">
        <v>150</v>
      </c>
      <c r="F18" s="11">
        <v>1390</v>
      </c>
      <c r="G18" s="11">
        <v>790</v>
      </c>
      <c r="H18" s="11">
        <v>1750</v>
      </c>
      <c r="I18" s="11">
        <v>1750</v>
      </c>
      <c r="J18" s="11">
        <v>1890</v>
      </c>
      <c r="K18" s="11">
        <v>1390</v>
      </c>
      <c r="L18" s="11"/>
      <c r="M18" s="11"/>
      <c r="N18" s="11"/>
      <c r="O18" s="11"/>
      <c r="P18" s="11"/>
      <c r="Q18" s="11"/>
    </row>
    <row r="20" spans="1:17" x14ac:dyDescent="0.3">
      <c r="C20" s="60" t="s">
        <v>22</v>
      </c>
      <c r="D20" s="60"/>
      <c r="E20" s="60"/>
      <c r="F20" s="61" t="s">
        <v>23</v>
      </c>
      <c r="G20" s="61"/>
      <c r="H20" s="61"/>
      <c r="I20" s="61"/>
      <c r="J20" s="61"/>
      <c r="K20" s="61"/>
      <c r="L20" s="61"/>
    </row>
    <row r="21" spans="1:17" ht="43.2" x14ac:dyDescent="0.3">
      <c r="B21" s="1" t="s">
        <v>25</v>
      </c>
      <c r="C21" s="1" t="s">
        <v>10</v>
      </c>
      <c r="D21" s="1" t="s">
        <v>11</v>
      </c>
      <c r="E21" s="1" t="s">
        <v>27</v>
      </c>
      <c r="F21" s="1" t="s">
        <v>272</v>
      </c>
      <c r="G21" s="1" t="s">
        <v>273</v>
      </c>
      <c r="H21" s="1" t="s">
        <v>274</v>
      </c>
      <c r="I21" s="1" t="s">
        <v>275</v>
      </c>
      <c r="J21" s="1" t="s">
        <v>276</v>
      </c>
      <c r="K21" s="1" t="s">
        <v>277</v>
      </c>
      <c r="L21" s="3" t="s">
        <v>26</v>
      </c>
      <c r="M21" s="66" t="s">
        <v>278</v>
      </c>
      <c r="N21" s="67" t="s">
        <v>34</v>
      </c>
      <c r="O21" t="s">
        <v>40</v>
      </c>
      <c r="P21" t="s">
        <v>41</v>
      </c>
      <c r="Q21" t="s">
        <v>49</v>
      </c>
    </row>
    <row r="22" spans="1:17" x14ac:dyDescent="0.3">
      <c r="A22" s="62" t="s">
        <v>24</v>
      </c>
      <c r="B22" t="s">
        <v>0</v>
      </c>
      <c r="C22" s="6"/>
      <c r="D22" s="6">
        <f t="shared" ref="C22:K32" si="2">D$18*D3</f>
        <v>150</v>
      </c>
      <c r="E22" s="6">
        <f t="shared" si="2"/>
        <v>34.61538461538462</v>
      </c>
      <c r="F22" s="6">
        <f t="shared" ref="F22:K22" si="3">F$18*F3</f>
        <v>1390</v>
      </c>
      <c r="G22" s="6"/>
      <c r="H22" s="6"/>
      <c r="I22" s="6"/>
      <c r="J22" s="6"/>
      <c r="K22" s="6"/>
      <c r="L22" s="6">
        <f>SUM(Table1353[[#This Row],[Coke]:[Parmesan chk]])</f>
        <v>1574.6153846153845</v>
      </c>
      <c r="M22" s="7">
        <f t="shared" ref="M22:M32" si="4">$L$28/12</f>
        <v>148.7179487179487</v>
      </c>
      <c r="N22" s="68">
        <f>Table1353[[#This Row],[Total]]+Table1353[[#This Row],[Sharing Nasr]]</f>
        <v>1723.3333333333333</v>
      </c>
      <c r="O22" s="7"/>
    </row>
    <row r="23" spans="1:17" x14ac:dyDescent="0.3">
      <c r="A23" s="62"/>
      <c r="B23" t="s">
        <v>1</v>
      </c>
      <c r="C23" s="6">
        <f t="shared" si="2"/>
        <v>120</v>
      </c>
      <c r="D23" s="6"/>
      <c r="E23" s="6">
        <f t="shared" ref="D23:E23" si="5">E$18*E4</f>
        <v>34.61538461538462</v>
      </c>
      <c r="F23" s="6"/>
      <c r="G23" s="6"/>
      <c r="H23" s="6">
        <f t="shared" ref="F23:K23" si="6">H$18*H4</f>
        <v>1750</v>
      </c>
      <c r="I23" s="6"/>
      <c r="J23" s="6"/>
      <c r="K23" s="6"/>
      <c r="L23" s="6">
        <f>SUM(Table1353[[#This Row],[Coke]:[Parmesan chk]])</f>
        <v>1904.6153846153845</v>
      </c>
      <c r="M23" s="7">
        <f t="shared" si="4"/>
        <v>148.7179487179487</v>
      </c>
      <c r="N23" s="68">
        <f>Table1353[[#This Row],[Total]]+Table1353[[#This Row],[Sharing Nasr]]</f>
        <v>2053.333333333333</v>
      </c>
      <c r="O23" s="7"/>
    </row>
    <row r="24" spans="1:17" x14ac:dyDescent="0.3">
      <c r="A24" s="62"/>
      <c r="B24" t="s">
        <v>2</v>
      </c>
      <c r="C24" s="6">
        <f t="shared" si="2"/>
        <v>120</v>
      </c>
      <c r="D24" s="6"/>
      <c r="E24" s="6">
        <f t="shared" ref="D24:E24" si="7">E$18*E5</f>
        <v>34.61538461538462</v>
      </c>
      <c r="F24" s="6"/>
      <c r="G24" s="6">
        <f t="shared" ref="F24:K24" si="8">G$18*G5</f>
        <v>790</v>
      </c>
      <c r="H24" s="6"/>
      <c r="I24" s="6"/>
      <c r="J24" s="6"/>
      <c r="K24" s="6"/>
      <c r="L24" s="6">
        <f>SUM(Table1353[[#This Row],[Coke]:[Parmesan chk]])</f>
        <v>944.61538461538464</v>
      </c>
      <c r="M24" s="7">
        <f t="shared" si="4"/>
        <v>148.7179487179487</v>
      </c>
      <c r="N24" s="68">
        <f>Table1353[[#This Row],[Total]]+Table1353[[#This Row],[Sharing Nasr]]</f>
        <v>1093.3333333333333</v>
      </c>
      <c r="O24" s="7"/>
    </row>
    <row r="25" spans="1:17" x14ac:dyDescent="0.3">
      <c r="A25" s="62"/>
      <c r="B25" t="s">
        <v>247</v>
      </c>
      <c r="C25" s="6"/>
      <c r="D25" s="6"/>
      <c r="E25" s="6">
        <f t="shared" ref="D25:E25" si="9">E$18*E6</f>
        <v>34.61538461538462</v>
      </c>
      <c r="F25" s="6"/>
      <c r="G25" s="6"/>
      <c r="H25" s="6"/>
      <c r="I25" s="6"/>
      <c r="J25" s="6">
        <f t="shared" ref="F25:K25" si="10">J$18*J6</f>
        <v>945</v>
      </c>
      <c r="K25" s="6"/>
      <c r="L25" s="6">
        <f>SUM(Table1353[[#This Row],[Coke]:[Parmesan chk]])</f>
        <v>979.61538461538464</v>
      </c>
      <c r="M25" s="7">
        <f t="shared" si="4"/>
        <v>148.7179487179487</v>
      </c>
      <c r="N25" s="68">
        <f>Table1353[[#This Row],[Total]]+Table1353[[#This Row],[Sharing Nasr]]</f>
        <v>1128.3333333333333</v>
      </c>
      <c r="O25" s="7"/>
    </row>
    <row r="26" spans="1:17" x14ac:dyDescent="0.3">
      <c r="A26" s="62"/>
      <c r="B26" t="s">
        <v>244</v>
      </c>
      <c r="C26" s="6"/>
      <c r="D26" s="6"/>
      <c r="E26" s="6">
        <f t="shared" ref="D26:E26" si="11">E$18*E7</f>
        <v>34.61538461538462</v>
      </c>
      <c r="F26" s="6"/>
      <c r="G26" s="6"/>
      <c r="H26" s="6"/>
      <c r="I26" s="6"/>
      <c r="J26" s="6">
        <f t="shared" ref="F26:K26" si="12">J$18*J7</f>
        <v>945</v>
      </c>
      <c r="K26" s="6"/>
      <c r="L26" s="6">
        <f>SUM(Table1353[[#This Row],[Coke]:[Parmesan chk]])</f>
        <v>979.61538461538464</v>
      </c>
      <c r="M26" s="7">
        <f t="shared" si="4"/>
        <v>148.7179487179487</v>
      </c>
      <c r="N26" s="68">
        <f>Table1353[[#This Row],[Total]]+Table1353[[#This Row],[Sharing Nasr]]</f>
        <v>1128.3333333333333</v>
      </c>
      <c r="O26" s="7"/>
    </row>
    <row r="27" spans="1:17" x14ac:dyDescent="0.3">
      <c r="A27" s="62"/>
      <c r="B27" t="s">
        <v>271</v>
      </c>
      <c r="C27" s="6"/>
      <c r="D27" s="6"/>
      <c r="E27" s="6">
        <f t="shared" ref="D27:E27" si="13">E$18*E8</f>
        <v>34.61538461538462</v>
      </c>
      <c r="F27" s="6"/>
      <c r="G27" s="6"/>
      <c r="H27" s="6"/>
      <c r="I27" s="6"/>
      <c r="J27" s="6"/>
      <c r="K27" s="6">
        <f t="shared" ref="F27:K27" si="14">K$18*K8</f>
        <v>695</v>
      </c>
      <c r="L27" s="6">
        <f>SUM(Table1353[[#This Row],[Coke]:[Parmesan chk]])</f>
        <v>729.61538461538464</v>
      </c>
      <c r="M27" s="7">
        <f t="shared" si="4"/>
        <v>148.7179487179487</v>
      </c>
      <c r="N27" s="68">
        <f>Table1353[[#This Row],[Total]]+Table1353[[#This Row],[Sharing Nasr]]</f>
        <v>878.33333333333337</v>
      </c>
      <c r="O27" s="7"/>
    </row>
    <row r="28" spans="1:17" x14ac:dyDescent="0.3">
      <c r="A28" s="62"/>
      <c r="B28" s="4" t="s">
        <v>9</v>
      </c>
      <c r="C28" s="4"/>
      <c r="D28" s="4"/>
      <c r="E28" s="4">
        <f t="shared" ref="D28:E28" si="15">E$18*E9</f>
        <v>34.61538461538462</v>
      </c>
      <c r="F28" s="4"/>
      <c r="G28" s="4"/>
      <c r="H28" s="4"/>
      <c r="I28" s="4">
        <f t="shared" ref="F28:K28" si="16">I$18*I9</f>
        <v>1750</v>
      </c>
      <c r="J28" s="4"/>
      <c r="K28" s="4"/>
      <c r="L28" s="29">
        <f>SUM(Table1353[[#This Row],[Coke]:[Parmesan chk]])</f>
        <v>1784.6153846153845</v>
      </c>
      <c r="M28" s="29"/>
      <c r="N28" s="68"/>
      <c r="O28" s="7"/>
    </row>
    <row r="29" spans="1:17" x14ac:dyDescent="0.3">
      <c r="A29" s="62"/>
      <c r="B29" t="s">
        <v>216</v>
      </c>
      <c r="C29" s="6">
        <f t="shared" si="2"/>
        <v>120</v>
      </c>
      <c r="D29" s="6"/>
      <c r="E29" s="6">
        <f t="shared" ref="D29:E29" si="17">E$18*E10</f>
        <v>34.61538461538462</v>
      </c>
      <c r="F29" s="6"/>
      <c r="G29" s="6"/>
      <c r="H29" s="6"/>
      <c r="I29" s="6"/>
      <c r="J29" s="6"/>
      <c r="K29" s="6">
        <f t="shared" ref="F29:K29" si="18">K$18*K10</f>
        <v>695</v>
      </c>
      <c r="L29" s="6">
        <f>SUM(Table1353[[#This Row],[Coke]:[Parmesan chk]])</f>
        <v>849.61538461538464</v>
      </c>
      <c r="M29" s="7">
        <f t="shared" si="4"/>
        <v>148.7179487179487</v>
      </c>
      <c r="N29" s="68">
        <f>Table1353[[#This Row],[Total]]+Table1353[[#This Row],[Sharing Nasr]]</f>
        <v>998.33333333333337</v>
      </c>
      <c r="O29" s="7"/>
    </row>
    <row r="30" spans="1:17" x14ac:dyDescent="0.3">
      <c r="A30" s="62"/>
      <c r="B30" t="s">
        <v>7</v>
      </c>
      <c r="C30" s="6"/>
      <c r="D30" s="6"/>
      <c r="E30" s="6">
        <f t="shared" ref="D30:E30" si="19">E$18*E11</f>
        <v>34.61538461538462</v>
      </c>
      <c r="F30" s="6">
        <f t="shared" ref="F30:K30" si="20">F$18*F11</f>
        <v>1390</v>
      </c>
      <c r="G30" s="6"/>
      <c r="H30" s="6"/>
      <c r="I30" s="6"/>
      <c r="J30" s="6"/>
      <c r="K30" s="6"/>
      <c r="L30" s="6">
        <f>SUM(Table1353[[#This Row],[Coke]:[Parmesan chk]])</f>
        <v>1424.6153846153845</v>
      </c>
      <c r="M30" s="7">
        <f t="shared" si="4"/>
        <v>148.7179487179487</v>
      </c>
      <c r="N30" s="68">
        <f>Table1353[[#This Row],[Total]]+Table1353[[#This Row],[Sharing Nasr]]</f>
        <v>1573.3333333333333</v>
      </c>
      <c r="O30" s="7"/>
    </row>
    <row r="31" spans="1:17" x14ac:dyDescent="0.3">
      <c r="A31" s="62"/>
      <c r="B31" t="s">
        <v>180</v>
      </c>
      <c r="C31" s="6">
        <f t="shared" si="2"/>
        <v>120</v>
      </c>
      <c r="D31" s="6"/>
      <c r="E31" s="6">
        <f t="shared" ref="D31:E31" si="21">E$18*E12</f>
        <v>34.61538461538462</v>
      </c>
      <c r="F31" s="6"/>
      <c r="G31" s="6">
        <f t="shared" ref="F31:K31" si="22">G$18*G12</f>
        <v>790</v>
      </c>
      <c r="H31" s="6"/>
      <c r="I31" s="6"/>
      <c r="J31" s="6"/>
      <c r="K31" s="6"/>
      <c r="L31" s="6">
        <f>SUM(Table1353[[#This Row],[Coke]:[Parmesan chk]])</f>
        <v>944.61538461538464</v>
      </c>
      <c r="M31" s="7">
        <f t="shared" si="4"/>
        <v>148.7179487179487</v>
      </c>
      <c r="N31" s="68">
        <f>Table1353[[#This Row],[Total]]+Table1353[[#This Row],[Sharing Nasr]]</f>
        <v>1093.3333333333333</v>
      </c>
      <c r="O31" s="7"/>
    </row>
    <row r="32" spans="1:17" x14ac:dyDescent="0.3">
      <c r="A32" s="62"/>
      <c r="B32" t="s">
        <v>269</v>
      </c>
      <c r="C32" s="6"/>
      <c r="D32" s="6"/>
      <c r="E32" s="6">
        <f t="shared" ref="D32:E32" si="23">E$18*E13</f>
        <v>34.61538461538462</v>
      </c>
      <c r="F32" s="6"/>
      <c r="G32" s="6"/>
      <c r="H32" s="6"/>
      <c r="I32" s="6"/>
      <c r="J32" s="6">
        <f t="shared" ref="F32:K32" si="24">J$18*J13</f>
        <v>945</v>
      </c>
      <c r="K32" s="6"/>
      <c r="L32" s="7">
        <f>SUM(Table1353[[#This Row],[Coke]:[Parmesan chk]])</f>
        <v>979.61538461538464</v>
      </c>
      <c r="M32" s="7">
        <f>$L$28/12</f>
        <v>148.7179487179487</v>
      </c>
      <c r="N32" s="68">
        <f>Table1353[[#This Row],[Total]]+Table1353[[#This Row],[Sharing Nasr]]</f>
        <v>1128.3333333333333</v>
      </c>
      <c r="O32" s="9"/>
      <c r="P32" s="9"/>
    </row>
    <row r="33" spans="1:14" x14ac:dyDescent="0.3">
      <c r="A33" s="62"/>
      <c r="B33" t="s">
        <v>270</v>
      </c>
      <c r="C33" s="63"/>
      <c r="D33" s="63"/>
      <c r="E33" s="63">
        <f t="shared" ref="D33:K33" si="25">E$18*E14</f>
        <v>34.61538461538462</v>
      </c>
      <c r="F33" s="63"/>
      <c r="G33" s="63"/>
      <c r="H33" s="63"/>
      <c r="I33" s="63"/>
      <c r="J33" s="63">
        <f t="shared" si="25"/>
        <v>945</v>
      </c>
      <c r="K33" s="63"/>
      <c r="L33" s="6">
        <f>SUM(C33:K33)</f>
        <v>979.61538461538464</v>
      </c>
      <c r="M33" s="64">
        <f>$L$28/12</f>
        <v>148.7179487179487</v>
      </c>
      <c r="N33" s="69">
        <f>L33+M33</f>
        <v>1128.3333333333333</v>
      </c>
    </row>
    <row r="34" spans="1:14" x14ac:dyDescent="0.3">
      <c r="A34" s="62"/>
      <c r="B34" t="s">
        <v>268</v>
      </c>
      <c r="C34" s="63">
        <f>C$18*C15</f>
        <v>120</v>
      </c>
      <c r="D34" s="63"/>
      <c r="E34" s="63">
        <f t="shared" ref="D34:K34" si="26">E$18*E15</f>
        <v>34.61538461538462</v>
      </c>
      <c r="F34" s="63"/>
      <c r="G34" s="63">
        <f t="shared" si="26"/>
        <v>790</v>
      </c>
      <c r="H34" s="63"/>
      <c r="I34" s="63"/>
      <c r="J34" s="63"/>
      <c r="K34" s="63"/>
      <c r="L34" s="6">
        <f>SUM(C34:K34)</f>
        <v>944.61538461538464</v>
      </c>
      <c r="M34" s="64">
        <f>$L$28/12</f>
        <v>148.7179487179487</v>
      </c>
      <c r="N34" s="69">
        <f>L34+M34</f>
        <v>1093.3333333333333</v>
      </c>
    </row>
    <row r="35" spans="1:14" x14ac:dyDescent="0.3">
      <c r="B35" s="2" t="s">
        <v>26</v>
      </c>
      <c r="C35" s="6">
        <f>SUM(C22:C34)</f>
        <v>600</v>
      </c>
      <c r="D35" s="6">
        <f t="shared" ref="D35:K35" si="27">SUM(D22:D34)</f>
        <v>150</v>
      </c>
      <c r="E35" s="6">
        <f t="shared" si="27"/>
        <v>450.00000000000017</v>
      </c>
      <c r="F35" s="6">
        <f t="shared" si="27"/>
        <v>2780</v>
      </c>
      <c r="G35" s="6">
        <f t="shared" si="27"/>
        <v>2370</v>
      </c>
      <c r="H35" s="6">
        <f t="shared" si="27"/>
        <v>1750</v>
      </c>
      <c r="I35" s="6">
        <f t="shared" si="27"/>
        <v>1750</v>
      </c>
      <c r="J35" s="6">
        <f t="shared" si="27"/>
        <v>3780</v>
      </c>
      <c r="K35" s="6">
        <f t="shared" si="27"/>
        <v>1390</v>
      </c>
      <c r="L35" s="64">
        <f>SUM(L22:L34)</f>
        <v>15020</v>
      </c>
      <c r="N35" s="26">
        <f>SUM(N22:N34)</f>
        <v>15020.000000000002</v>
      </c>
    </row>
    <row r="36" spans="1:14" x14ac:dyDescent="0.3">
      <c r="L36" s="6">
        <f>SUM(C35:K35)</f>
        <v>15020</v>
      </c>
    </row>
  </sheetData>
  <mergeCells count="6">
    <mergeCell ref="F20:L20"/>
    <mergeCell ref="A22:A34"/>
    <mergeCell ref="A3:A15"/>
    <mergeCell ref="C1:E1"/>
    <mergeCell ref="F1:L1"/>
    <mergeCell ref="C20:E20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2"/>
  <sheetViews>
    <sheetView topLeftCell="A3" workbookViewId="0">
      <selection activeCell="U21" sqref="U21"/>
    </sheetView>
  </sheetViews>
  <sheetFormatPr defaultRowHeight="14.4" x14ac:dyDescent="0.3"/>
  <cols>
    <col min="2" max="2" width="9.88671875" customWidth="1"/>
    <col min="3" max="3" width="6.33203125" customWidth="1"/>
    <col min="4" max="4" width="7.33203125" customWidth="1"/>
    <col min="5" max="5" width="7.88671875" customWidth="1"/>
    <col min="6" max="6" width="9.33203125" customWidth="1"/>
    <col min="7" max="7" width="7" customWidth="1"/>
    <col min="8" max="8" width="9.109375" customWidth="1"/>
    <col min="9" max="9" width="8.44140625" customWidth="1"/>
    <col min="10" max="10" width="9.109375" customWidth="1"/>
    <col min="11" max="11" width="8.33203125" customWidth="1"/>
    <col min="12" max="12" width="7.44140625" customWidth="1"/>
    <col min="13" max="13" width="8.5546875" customWidth="1"/>
    <col min="14" max="14" width="8.6640625" customWidth="1"/>
    <col min="15" max="15" width="10.88671875" customWidth="1"/>
    <col min="16" max="16" width="8.88671875" customWidth="1"/>
    <col min="17" max="17" width="10" bestFit="1" customWidth="1"/>
    <col min="18" max="18" width="9.44140625" bestFit="1" customWidth="1"/>
    <col min="19" max="19" width="10.5546875" bestFit="1" customWidth="1"/>
  </cols>
  <sheetData>
    <row r="1" spans="1:17" x14ac:dyDescent="0.3">
      <c r="C1" s="60" t="s">
        <v>22</v>
      </c>
      <c r="D1" s="60"/>
      <c r="E1" s="60"/>
      <c r="F1" s="60"/>
      <c r="G1" s="60"/>
      <c r="H1" s="60"/>
      <c r="I1" s="61" t="s">
        <v>23</v>
      </c>
      <c r="J1" s="61"/>
      <c r="K1" s="61"/>
      <c r="L1" s="61"/>
      <c r="M1" s="61"/>
      <c r="N1" s="61"/>
      <c r="O1" s="61"/>
      <c r="P1" s="61"/>
    </row>
    <row r="2" spans="1:17" ht="61.5" customHeight="1" x14ac:dyDescent="0.3">
      <c r="B2" s="1" t="s">
        <v>25</v>
      </c>
      <c r="C2" s="1" t="s">
        <v>10</v>
      </c>
      <c r="D2" s="1" t="s">
        <v>11</v>
      </c>
      <c r="E2" s="1" t="s">
        <v>27</v>
      </c>
      <c r="F2" s="1" t="s">
        <v>14</v>
      </c>
      <c r="G2" s="1" t="s">
        <v>12</v>
      </c>
      <c r="H2" s="1" t="s">
        <v>13</v>
      </c>
      <c r="I2" s="1" t="s">
        <v>15</v>
      </c>
      <c r="J2" s="1" t="s">
        <v>16</v>
      </c>
      <c r="K2" s="1" t="s">
        <v>18</v>
      </c>
      <c r="L2" s="1" t="s">
        <v>17</v>
      </c>
      <c r="M2" s="1" t="s">
        <v>19</v>
      </c>
      <c r="N2" s="1" t="s">
        <v>20</v>
      </c>
      <c r="O2" s="1" t="s">
        <v>21</v>
      </c>
      <c r="P2" s="1" t="s">
        <v>28</v>
      </c>
      <c r="Q2" s="3" t="s">
        <v>26</v>
      </c>
    </row>
    <row r="3" spans="1:17" x14ac:dyDescent="0.3">
      <c r="A3" s="62" t="s">
        <v>24</v>
      </c>
      <c r="B3" t="s">
        <v>0</v>
      </c>
      <c r="C3">
        <v>1</v>
      </c>
      <c r="L3">
        <v>1</v>
      </c>
      <c r="Q3" s="2">
        <f>SUM(Table1[[#This Row],[Coke]:[Tarragon Steak]])</f>
        <v>2</v>
      </c>
    </row>
    <row r="4" spans="1:17" x14ac:dyDescent="0.3">
      <c r="A4" s="62"/>
      <c r="B4" t="s">
        <v>1</v>
      </c>
      <c r="C4">
        <v>2</v>
      </c>
      <c r="L4">
        <v>1</v>
      </c>
      <c r="Q4" s="2">
        <f>SUM(Table1[[#This Row],[Coke]:[Tarragon Steak]])</f>
        <v>3</v>
      </c>
    </row>
    <row r="5" spans="1:17" x14ac:dyDescent="0.3">
      <c r="A5" s="62"/>
      <c r="B5" t="s">
        <v>2</v>
      </c>
      <c r="F5">
        <v>1</v>
      </c>
      <c r="P5">
        <v>1</v>
      </c>
      <c r="Q5" s="2">
        <f>SUM(Table1[[#This Row],[Coke]:[Tarragon Steak]])</f>
        <v>2</v>
      </c>
    </row>
    <row r="6" spans="1:17" x14ac:dyDescent="0.3">
      <c r="A6" s="62"/>
      <c r="B6" t="s">
        <v>3</v>
      </c>
      <c r="G6">
        <v>1</v>
      </c>
      <c r="N6" s="4">
        <v>1</v>
      </c>
      <c r="Q6" s="2">
        <f>SUM(Table1[[#This Row],[Coke]:[Tarragon Steak]])</f>
        <v>2</v>
      </c>
    </row>
    <row r="7" spans="1:17" x14ac:dyDescent="0.3">
      <c r="A7" s="62"/>
      <c r="B7" t="s">
        <v>4</v>
      </c>
      <c r="F7">
        <v>1</v>
      </c>
      <c r="M7">
        <v>1</v>
      </c>
      <c r="Q7" s="2">
        <f>SUM(Table1[[#This Row],[Coke]:[Tarragon Steak]])</f>
        <v>2</v>
      </c>
    </row>
    <row r="8" spans="1:17" x14ac:dyDescent="0.3">
      <c r="A8" s="62"/>
      <c r="B8" t="s">
        <v>5</v>
      </c>
      <c r="E8">
        <v>1</v>
      </c>
      <c r="F8">
        <v>1</v>
      </c>
      <c r="P8">
        <v>1</v>
      </c>
      <c r="Q8" s="2">
        <f>SUM(Table1[[#This Row],[Coke]:[Tarragon Steak]])</f>
        <v>3</v>
      </c>
    </row>
    <row r="9" spans="1:17" x14ac:dyDescent="0.3">
      <c r="A9" s="62"/>
      <c r="B9" t="s">
        <v>9</v>
      </c>
      <c r="J9">
        <v>1</v>
      </c>
      <c r="Q9" s="2">
        <f>SUM(Table1[[#This Row],[Coke]:[Tarragon Steak]])</f>
        <v>1</v>
      </c>
    </row>
    <row r="10" spans="1:17" x14ac:dyDescent="0.3">
      <c r="A10" s="62"/>
      <c r="B10" t="s">
        <v>6</v>
      </c>
      <c r="D10">
        <v>1</v>
      </c>
      <c r="F10">
        <v>1</v>
      </c>
      <c r="H10">
        <v>1</v>
      </c>
      <c r="I10">
        <v>1</v>
      </c>
      <c r="O10">
        <v>1</v>
      </c>
      <c r="P10">
        <v>1</v>
      </c>
      <c r="Q10" s="2">
        <f>SUM(Table1[[#This Row],[Coke]:[Tarragon Steak]])</f>
        <v>6</v>
      </c>
    </row>
    <row r="11" spans="1:17" x14ac:dyDescent="0.3">
      <c r="A11" s="62"/>
      <c r="B11" t="s">
        <v>7</v>
      </c>
      <c r="F11">
        <v>1</v>
      </c>
      <c r="K11" s="4">
        <v>1</v>
      </c>
      <c r="Q11" s="2">
        <f>SUM(Table1[[#This Row],[Coke]:[Tarragon Steak]])</f>
        <v>2</v>
      </c>
    </row>
    <row r="12" spans="1:17" x14ac:dyDescent="0.3">
      <c r="A12" s="62"/>
      <c r="B12" t="s">
        <v>8</v>
      </c>
      <c r="C12">
        <v>1</v>
      </c>
      <c r="P12">
        <v>1</v>
      </c>
      <c r="Q12" s="2">
        <f>SUM(Table1[[#This Row],[Coke]:[Tarragon Steak]])</f>
        <v>2</v>
      </c>
    </row>
    <row r="13" spans="1:17" x14ac:dyDescent="0.3">
      <c r="B13" s="2" t="s">
        <v>26</v>
      </c>
      <c r="C13" s="2">
        <f>SUM(C3:C12)</f>
        <v>4</v>
      </c>
      <c r="D13" s="2">
        <f t="shared" ref="D13:P13" si="0">SUM(D3:D12)</f>
        <v>1</v>
      </c>
      <c r="E13" s="2">
        <f t="shared" si="0"/>
        <v>1</v>
      </c>
      <c r="F13" s="2">
        <f t="shared" si="0"/>
        <v>5</v>
      </c>
      <c r="G13" s="2">
        <f t="shared" si="0"/>
        <v>1</v>
      </c>
      <c r="H13" s="2">
        <f t="shared" si="0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2</v>
      </c>
      <c r="M13" s="2">
        <f t="shared" si="0"/>
        <v>1</v>
      </c>
      <c r="N13" s="2">
        <f t="shared" si="0"/>
        <v>1</v>
      </c>
      <c r="O13" s="2">
        <f t="shared" si="0"/>
        <v>1</v>
      </c>
      <c r="P13" s="2">
        <f t="shared" si="0"/>
        <v>4</v>
      </c>
      <c r="Q13" s="2">
        <f>SUM(Table1[[#This Row],[Coke]:[Tarragon Steak]])</f>
        <v>25</v>
      </c>
    </row>
    <row r="15" spans="1:17" x14ac:dyDescent="0.3">
      <c r="B15" s="10" t="s">
        <v>29</v>
      </c>
      <c r="C15" s="5">
        <v>7.4999999999999997E-2</v>
      </c>
    </row>
    <row r="16" spans="1:17" x14ac:dyDescent="0.3">
      <c r="B16" s="10" t="s">
        <v>30</v>
      </c>
      <c r="C16" s="11">
        <v>110</v>
      </c>
      <c r="D16" s="11">
        <v>150</v>
      </c>
      <c r="E16" s="11">
        <v>60</v>
      </c>
      <c r="F16" s="11">
        <v>325</v>
      </c>
      <c r="G16" s="11">
        <v>345</v>
      </c>
      <c r="H16" s="11">
        <v>425</v>
      </c>
      <c r="I16" s="11">
        <v>545</v>
      </c>
      <c r="J16" s="11">
        <v>945</v>
      </c>
      <c r="K16" s="11">
        <v>1095</v>
      </c>
      <c r="L16" s="11">
        <v>1095</v>
      </c>
      <c r="M16" s="11">
        <v>1075</v>
      </c>
      <c r="N16" s="11">
        <v>1195</v>
      </c>
      <c r="O16" s="11">
        <v>945</v>
      </c>
      <c r="P16" s="11">
        <v>1195</v>
      </c>
      <c r="Q16" s="11">
        <f>SUM(C16:P16)</f>
        <v>9505</v>
      </c>
    </row>
    <row r="17" spans="1:21" x14ac:dyDescent="0.3">
      <c r="B17" s="10" t="s">
        <v>31</v>
      </c>
      <c r="C17">
        <f t="shared" ref="C17:Q17" si="1">C16*$C$15</f>
        <v>8.25</v>
      </c>
      <c r="D17">
        <f t="shared" si="1"/>
        <v>11.25</v>
      </c>
      <c r="E17">
        <f t="shared" si="1"/>
        <v>4.5</v>
      </c>
      <c r="F17">
        <f t="shared" si="1"/>
        <v>24.375</v>
      </c>
      <c r="G17">
        <f t="shared" si="1"/>
        <v>25.875</v>
      </c>
      <c r="H17">
        <f t="shared" si="1"/>
        <v>31.875</v>
      </c>
      <c r="I17">
        <f t="shared" si="1"/>
        <v>40.875</v>
      </c>
      <c r="J17">
        <f t="shared" si="1"/>
        <v>70.875</v>
      </c>
      <c r="K17">
        <f t="shared" si="1"/>
        <v>82.125</v>
      </c>
      <c r="L17">
        <f t="shared" si="1"/>
        <v>82.125</v>
      </c>
      <c r="M17">
        <f t="shared" si="1"/>
        <v>80.625</v>
      </c>
      <c r="N17">
        <f t="shared" si="1"/>
        <v>89.625</v>
      </c>
      <c r="O17">
        <f t="shared" si="1"/>
        <v>70.875</v>
      </c>
      <c r="P17">
        <f t="shared" si="1"/>
        <v>89.625</v>
      </c>
      <c r="Q17">
        <f t="shared" si="1"/>
        <v>712.875</v>
      </c>
    </row>
    <row r="18" spans="1:21" x14ac:dyDescent="0.3">
      <c r="B18" s="10" t="s">
        <v>32</v>
      </c>
      <c r="C18" s="12">
        <f>SUM(C16:C17)</f>
        <v>118.25</v>
      </c>
      <c r="D18" s="12">
        <f t="shared" ref="D18:Q18" si="2">SUM(D16:D17)</f>
        <v>161.25</v>
      </c>
      <c r="E18" s="12">
        <f t="shared" si="2"/>
        <v>64.5</v>
      </c>
      <c r="F18" s="12">
        <f t="shared" si="2"/>
        <v>349.375</v>
      </c>
      <c r="G18" s="12">
        <f t="shared" si="2"/>
        <v>370.875</v>
      </c>
      <c r="H18" s="12">
        <f t="shared" si="2"/>
        <v>456.875</v>
      </c>
      <c r="I18" s="12">
        <f t="shared" si="2"/>
        <v>585.875</v>
      </c>
      <c r="J18" s="12">
        <f t="shared" si="2"/>
        <v>1015.875</v>
      </c>
      <c r="K18" s="12">
        <f t="shared" si="2"/>
        <v>1177.125</v>
      </c>
      <c r="L18" s="12">
        <f t="shared" si="2"/>
        <v>1177.125</v>
      </c>
      <c r="M18" s="12">
        <f t="shared" si="2"/>
        <v>1155.625</v>
      </c>
      <c r="N18" s="12">
        <f t="shared" si="2"/>
        <v>1284.625</v>
      </c>
      <c r="O18" s="12">
        <f t="shared" si="2"/>
        <v>1015.875</v>
      </c>
      <c r="P18" s="12">
        <f t="shared" si="2"/>
        <v>1284.625</v>
      </c>
      <c r="Q18" s="12">
        <f t="shared" si="2"/>
        <v>10217.875</v>
      </c>
    </row>
    <row r="20" spans="1:21" x14ac:dyDescent="0.3">
      <c r="C20" s="60" t="s">
        <v>22</v>
      </c>
      <c r="D20" s="60"/>
      <c r="E20" s="60"/>
      <c r="F20" s="60"/>
      <c r="G20" s="60"/>
      <c r="H20" s="60"/>
      <c r="I20" s="61" t="s">
        <v>23</v>
      </c>
      <c r="J20" s="61"/>
      <c r="K20" s="61"/>
      <c r="L20" s="61"/>
      <c r="M20" s="61"/>
      <c r="N20" s="61"/>
      <c r="O20" s="61"/>
      <c r="P20" s="61"/>
    </row>
    <row r="21" spans="1:21" ht="57.6" x14ac:dyDescent="0.3">
      <c r="B21" s="1" t="s">
        <v>25</v>
      </c>
      <c r="C21" s="1" t="s">
        <v>10</v>
      </c>
      <c r="D21" s="1" t="s">
        <v>11</v>
      </c>
      <c r="E21" s="1" t="s">
        <v>27</v>
      </c>
      <c r="F21" s="1" t="s">
        <v>14</v>
      </c>
      <c r="G21" s="1" t="s">
        <v>12</v>
      </c>
      <c r="H21" s="1" t="s">
        <v>13</v>
      </c>
      <c r="I21" s="1" t="s">
        <v>15</v>
      </c>
      <c r="J21" s="1" t="s">
        <v>16</v>
      </c>
      <c r="K21" s="1" t="s">
        <v>18</v>
      </c>
      <c r="L21" s="1" t="s">
        <v>17</v>
      </c>
      <c r="M21" s="1" t="s">
        <v>19</v>
      </c>
      <c r="N21" s="1" t="s">
        <v>20</v>
      </c>
      <c r="O21" s="1" t="s">
        <v>21</v>
      </c>
      <c r="P21" s="1" t="s">
        <v>28</v>
      </c>
      <c r="Q21" s="3" t="s">
        <v>26</v>
      </c>
      <c r="R21" s="1" t="s">
        <v>33</v>
      </c>
      <c r="S21" s="8" t="s">
        <v>34</v>
      </c>
      <c r="T21" s="1" t="s">
        <v>35</v>
      </c>
      <c r="U21" s="1" t="s">
        <v>36</v>
      </c>
    </row>
    <row r="22" spans="1:21" x14ac:dyDescent="0.3">
      <c r="A22" s="62" t="s">
        <v>24</v>
      </c>
      <c r="B22" t="s">
        <v>0</v>
      </c>
      <c r="C22" s="6">
        <f>C3*C$18</f>
        <v>118.25</v>
      </c>
      <c r="D22" s="6"/>
      <c r="E22" s="6"/>
      <c r="F22" s="6"/>
      <c r="G22" s="6"/>
      <c r="H22" s="6"/>
      <c r="I22" s="6"/>
      <c r="J22" s="6"/>
      <c r="K22" s="6"/>
      <c r="L22" s="6">
        <f>L3*L$18</f>
        <v>1177.125</v>
      </c>
      <c r="M22" s="6"/>
      <c r="N22" s="6"/>
      <c r="O22" s="6"/>
      <c r="P22" s="6"/>
      <c r="Q22" s="7">
        <f>SUM(Table13[[#This Row],[Coke]:[Tarragon Steak]])</f>
        <v>1295.375</v>
      </c>
      <c r="R22" s="6">
        <f t="shared" ref="R22:R31" si="3">$Q$31/9</f>
        <v>155.875</v>
      </c>
      <c r="S22" s="7">
        <f>SUM(Table13[[#This Row],[Total]:[Sharing Waseem Total]])</f>
        <v>1451.25</v>
      </c>
      <c r="T22">
        <v>1450</v>
      </c>
      <c r="U22">
        <f>Table13[[#This Row],[Received]]-Table13[[#This Row],[Grand Total to Pay]]</f>
        <v>-1.25</v>
      </c>
    </row>
    <row r="23" spans="1:21" x14ac:dyDescent="0.3">
      <c r="A23" s="62"/>
      <c r="B23" t="s">
        <v>1</v>
      </c>
      <c r="C23" s="6">
        <f>C4*C$18</f>
        <v>236.5</v>
      </c>
      <c r="D23" s="6"/>
      <c r="E23" s="6"/>
      <c r="F23" s="6"/>
      <c r="G23" s="6"/>
      <c r="H23" s="6"/>
      <c r="I23" s="6"/>
      <c r="J23" s="6"/>
      <c r="K23" s="6"/>
      <c r="L23" s="6">
        <f>L4*L$18</f>
        <v>1177.125</v>
      </c>
      <c r="M23" s="6"/>
      <c r="N23" s="6"/>
      <c r="O23" s="6"/>
      <c r="P23" s="6"/>
      <c r="Q23" s="7">
        <f>SUM(Table13[[#This Row],[Coke]:[Tarragon Steak]])</f>
        <v>1413.625</v>
      </c>
      <c r="R23" s="6">
        <f t="shared" si="3"/>
        <v>155.875</v>
      </c>
      <c r="S23" s="7">
        <f>SUM(Table13[[#This Row],[Total]:[Sharing Waseem Total]])</f>
        <v>1569.5</v>
      </c>
      <c r="T23">
        <v>1570</v>
      </c>
      <c r="U23">
        <f>Table13[[#This Row],[Received]]-Table13[[#This Row],[Grand Total to Pay]]</f>
        <v>0.5</v>
      </c>
    </row>
    <row r="24" spans="1:21" x14ac:dyDescent="0.3">
      <c r="A24" s="62"/>
      <c r="B24" t="s">
        <v>2</v>
      </c>
      <c r="C24" s="6"/>
      <c r="D24" s="6"/>
      <c r="E24" s="6"/>
      <c r="F24" s="6">
        <f>F5*F$18</f>
        <v>349.375</v>
      </c>
      <c r="G24" s="6"/>
      <c r="H24" s="6"/>
      <c r="I24" s="6"/>
      <c r="J24" s="6"/>
      <c r="K24" s="6"/>
      <c r="L24" s="6"/>
      <c r="M24" s="6"/>
      <c r="N24" s="6"/>
      <c r="O24" s="6"/>
      <c r="P24" s="6">
        <f>P5*P$18</f>
        <v>1284.625</v>
      </c>
      <c r="Q24" s="7">
        <f>SUM(Table13[[#This Row],[Coke]:[Tarragon Steak]])</f>
        <v>1634</v>
      </c>
      <c r="R24" s="6">
        <f t="shared" si="3"/>
        <v>155.875</v>
      </c>
      <c r="S24" s="7">
        <f>SUM(Table13[[#This Row],[Total]:[Sharing Waseem Total]])</f>
        <v>1789.875</v>
      </c>
      <c r="U24">
        <f>Table13[[#This Row],[Received]]-Table13[[#This Row],[Grand Total to Pay]]</f>
        <v>-1789.875</v>
      </c>
    </row>
    <row r="25" spans="1:21" x14ac:dyDescent="0.3">
      <c r="A25" s="62"/>
      <c r="B25" t="s">
        <v>3</v>
      </c>
      <c r="C25" s="6"/>
      <c r="D25" s="6"/>
      <c r="E25" s="6"/>
      <c r="F25" s="6"/>
      <c r="G25" s="6">
        <f>G6*G$18</f>
        <v>370.875</v>
      </c>
      <c r="H25" s="6"/>
      <c r="I25" s="6"/>
      <c r="J25" s="6"/>
      <c r="K25" s="6"/>
      <c r="L25" s="6"/>
      <c r="M25" s="6"/>
      <c r="N25" s="6">
        <f>N6*N$18</f>
        <v>1284.625</v>
      </c>
      <c r="O25" s="6"/>
      <c r="P25" s="6"/>
      <c r="Q25" s="7">
        <f>SUM(Table13[[#This Row],[Coke]:[Tarragon Steak]])</f>
        <v>1655.5</v>
      </c>
      <c r="R25" s="6">
        <f t="shared" si="3"/>
        <v>155.875</v>
      </c>
      <c r="S25" s="7">
        <f>SUM(Table13[[#This Row],[Total]:[Sharing Waseem Total]])</f>
        <v>1811.375</v>
      </c>
      <c r="T25">
        <v>1811</v>
      </c>
      <c r="U25">
        <f>Table13[[#This Row],[Received]]-Table13[[#This Row],[Grand Total to Pay]]</f>
        <v>-0.375</v>
      </c>
    </row>
    <row r="26" spans="1:21" x14ac:dyDescent="0.3">
      <c r="A26" s="62"/>
      <c r="B26" t="s">
        <v>4</v>
      </c>
      <c r="C26" s="6"/>
      <c r="D26" s="6"/>
      <c r="E26" s="6"/>
      <c r="F26" s="6">
        <f>F7*F$18</f>
        <v>349.375</v>
      </c>
      <c r="G26" s="6"/>
      <c r="H26" s="6"/>
      <c r="I26" s="6"/>
      <c r="J26" s="6"/>
      <c r="K26" s="6"/>
      <c r="L26" s="6"/>
      <c r="M26" s="6">
        <f>M7*M$18</f>
        <v>1155.625</v>
      </c>
      <c r="N26" s="6"/>
      <c r="O26" s="6"/>
      <c r="P26" s="6"/>
      <c r="Q26" s="7">
        <f>SUM(Table13[[#This Row],[Coke]:[Tarragon Steak]])</f>
        <v>1505</v>
      </c>
      <c r="R26" s="6">
        <f t="shared" si="3"/>
        <v>155.875</v>
      </c>
      <c r="S26" s="7">
        <f>SUM(Table13[[#This Row],[Total]:[Sharing Waseem Total]])</f>
        <v>1660.875</v>
      </c>
      <c r="T26">
        <v>1660</v>
      </c>
      <c r="U26">
        <f>Table13[[#This Row],[Received]]-Table13[[#This Row],[Grand Total to Pay]]</f>
        <v>-0.875</v>
      </c>
    </row>
    <row r="27" spans="1:21" x14ac:dyDescent="0.3">
      <c r="A27" s="62"/>
      <c r="B27" t="s">
        <v>5</v>
      </c>
      <c r="C27" s="6">
        <f t="shared" ref="C27:E27" si="4">C8*C$18</f>
        <v>0</v>
      </c>
      <c r="D27" s="6">
        <f t="shared" si="4"/>
        <v>0</v>
      </c>
      <c r="E27" s="6">
        <f t="shared" si="4"/>
        <v>64.5</v>
      </c>
      <c r="F27" s="6">
        <f>F8*F$18</f>
        <v>349.375</v>
      </c>
      <c r="G27" s="6"/>
      <c r="H27" s="6"/>
      <c r="I27" s="6"/>
      <c r="J27" s="6"/>
      <c r="K27" s="6"/>
      <c r="L27" s="6"/>
      <c r="M27" s="6"/>
      <c r="N27" s="6"/>
      <c r="O27" s="6"/>
      <c r="P27" s="6">
        <f>P8*P$18</f>
        <v>1284.625</v>
      </c>
      <c r="Q27" s="7">
        <f>SUM(Table13[[#This Row],[Coke]:[Tarragon Steak]])</f>
        <v>1698.5</v>
      </c>
      <c r="R27" s="6">
        <f t="shared" si="3"/>
        <v>155.875</v>
      </c>
      <c r="S27" s="7">
        <f>SUM(Table13[[#This Row],[Total]:[Sharing Waseem Total]])</f>
        <v>1854.375</v>
      </c>
      <c r="T27">
        <v>1860</v>
      </c>
      <c r="U27">
        <f>Table13[[#This Row],[Received]]-Table13[[#This Row],[Grand Total to Pay]]</f>
        <v>5.625</v>
      </c>
    </row>
    <row r="28" spans="1:21" x14ac:dyDescent="0.3">
      <c r="A28" s="62"/>
      <c r="B28" t="s">
        <v>9</v>
      </c>
      <c r="C28" s="6"/>
      <c r="D28" s="6"/>
      <c r="E28" s="6"/>
      <c r="F28" s="6"/>
      <c r="G28" s="6"/>
      <c r="H28" s="6"/>
      <c r="I28" s="6"/>
      <c r="J28" s="6">
        <f>J9*J$18</f>
        <v>1015.875</v>
      </c>
      <c r="K28" s="6"/>
      <c r="L28" s="6"/>
      <c r="M28" s="6"/>
      <c r="N28" s="6"/>
      <c r="O28" s="6"/>
      <c r="P28" s="6"/>
      <c r="Q28" s="7">
        <f>SUM(Table13[[#This Row],[Coke]:[Tarragon Steak]])</f>
        <v>1015.875</v>
      </c>
      <c r="R28" s="6">
        <f t="shared" si="3"/>
        <v>155.875</v>
      </c>
      <c r="S28" s="7">
        <f>SUM(Table13[[#This Row],[Total]:[Sharing Waseem Total]])</f>
        <v>1171.75</v>
      </c>
      <c r="T28">
        <v>1171.75</v>
      </c>
      <c r="U28">
        <f>Table13[[#This Row],[Received]]-Table13[[#This Row],[Grand Total to Pay]]</f>
        <v>0</v>
      </c>
    </row>
    <row r="29" spans="1:21" x14ac:dyDescent="0.3">
      <c r="A29" s="62"/>
      <c r="B29" t="s">
        <v>6</v>
      </c>
      <c r="C29" s="6"/>
      <c r="D29" s="6">
        <f>D10*D$18</f>
        <v>161.25</v>
      </c>
      <c r="E29" s="6"/>
      <c r="F29" s="6">
        <f>F10*F$18</f>
        <v>349.375</v>
      </c>
      <c r="G29" s="6"/>
      <c r="H29" s="6">
        <f>H10*H$18</f>
        <v>456.875</v>
      </c>
      <c r="I29" s="6">
        <f>I10*I$18</f>
        <v>585.875</v>
      </c>
      <c r="J29" s="6"/>
      <c r="K29" s="6"/>
      <c r="L29" s="6"/>
      <c r="M29" s="6"/>
      <c r="N29" s="6"/>
      <c r="O29" s="6">
        <f>O10*O$18</f>
        <v>1015.875</v>
      </c>
      <c r="P29" s="6">
        <f>P10*P$18</f>
        <v>1284.625</v>
      </c>
      <c r="Q29" s="7">
        <f>SUM(Table13[[#This Row],[Coke]:[Tarragon Steak]])</f>
        <v>3853.875</v>
      </c>
      <c r="R29" s="6">
        <f t="shared" si="3"/>
        <v>155.875</v>
      </c>
      <c r="S29" s="7">
        <f>SUM(Table13[[#This Row],[Total]:[Sharing Waseem Total]])</f>
        <v>4009.75</v>
      </c>
      <c r="T29">
        <v>4036</v>
      </c>
      <c r="U29">
        <f>Table13[[#This Row],[Received]]-Table13[[#This Row],[Grand Total to Pay]]</f>
        <v>26.25</v>
      </c>
    </row>
    <row r="30" spans="1:21" x14ac:dyDescent="0.3">
      <c r="A30" s="62"/>
      <c r="B30" t="s">
        <v>7</v>
      </c>
      <c r="C30" s="6"/>
      <c r="D30" s="6"/>
      <c r="E30" s="6"/>
      <c r="F30" s="6">
        <f>F11*F$18</f>
        <v>349.375</v>
      </c>
      <c r="G30" s="6"/>
      <c r="H30" s="6"/>
      <c r="I30" s="6"/>
      <c r="J30" s="6"/>
      <c r="K30" s="6">
        <f>K11*K$18</f>
        <v>1177.125</v>
      </c>
      <c r="L30" s="6"/>
      <c r="M30" s="6"/>
      <c r="N30" s="6"/>
      <c r="O30" s="6"/>
      <c r="P30" s="6"/>
      <c r="Q30" s="7">
        <f>SUM(Table13[[#This Row],[Coke]:[Tarragon Steak]])</f>
        <v>1526.5</v>
      </c>
      <c r="R30" s="6">
        <f t="shared" si="3"/>
        <v>155.875</v>
      </c>
      <c r="S30" s="7">
        <f>SUM(Table13[[#This Row],[Total]:[Sharing Waseem Total]])</f>
        <v>1682.375</v>
      </c>
      <c r="T30">
        <v>1682.38</v>
      </c>
      <c r="U30">
        <f>Table13[[#This Row],[Received]]-Table13[[#This Row],[Grand Total to Pay]]</f>
        <v>5.0000000001091394E-3</v>
      </c>
    </row>
    <row r="31" spans="1:21" x14ac:dyDescent="0.3">
      <c r="A31" s="62"/>
      <c r="B31" t="s">
        <v>8</v>
      </c>
      <c r="C31" s="6">
        <f t="shared" ref="C31" si="5">C12*C$18</f>
        <v>118.25</v>
      </c>
      <c r="D31" s="6"/>
      <c r="E31" s="6"/>
      <c r="F31" s="6">
        <f>F12*F$18</f>
        <v>0</v>
      </c>
      <c r="G31" s="6"/>
      <c r="H31" s="6"/>
      <c r="I31" s="6"/>
      <c r="J31" s="6"/>
      <c r="K31" s="6"/>
      <c r="L31" s="6"/>
      <c r="M31" s="6"/>
      <c r="N31" s="6"/>
      <c r="O31" s="6"/>
      <c r="P31" s="6">
        <f>P12*P$18</f>
        <v>1284.625</v>
      </c>
      <c r="Q31" s="7">
        <f>SUM(Table13[[#This Row],[Coke]:[Tarragon Steak]])</f>
        <v>1402.875</v>
      </c>
      <c r="R31" s="6">
        <f t="shared" si="3"/>
        <v>155.875</v>
      </c>
      <c r="S31" s="7"/>
      <c r="U31">
        <f>Table13[[#This Row],[Received]]-Table13[[#This Row],[Grand Total to Pay]]</f>
        <v>0</v>
      </c>
    </row>
    <row r="32" spans="1:21" x14ac:dyDescent="0.3">
      <c r="B32" s="2" t="s">
        <v>26</v>
      </c>
      <c r="C32" s="2">
        <f>SUM(C22:C31)</f>
        <v>473</v>
      </c>
      <c r="D32" s="2">
        <f t="shared" ref="D32" si="6">SUM(D22:D31)</f>
        <v>161.25</v>
      </c>
      <c r="E32" s="2">
        <f t="shared" ref="E32" si="7">SUM(E22:E31)</f>
        <v>64.5</v>
      </c>
      <c r="F32" s="2">
        <f t="shared" ref="F32" si="8">SUM(F22:F31)</f>
        <v>1746.875</v>
      </c>
      <c r="G32" s="2">
        <f t="shared" ref="G32" si="9">SUM(G22:G31)</f>
        <v>370.875</v>
      </c>
      <c r="H32" s="2">
        <f t="shared" ref="H32" si="10">SUM(H22:H31)</f>
        <v>456.875</v>
      </c>
      <c r="I32" s="2">
        <f t="shared" ref="I32" si="11">SUM(I22:I31)</f>
        <v>585.875</v>
      </c>
      <c r="J32" s="2">
        <f t="shared" ref="J32" si="12">SUM(J22:J31)</f>
        <v>1015.875</v>
      </c>
      <c r="K32" s="2">
        <f t="shared" ref="K32" si="13">SUM(K22:K31)</f>
        <v>1177.125</v>
      </c>
      <c r="L32" s="2">
        <f t="shared" ref="L32" si="14">SUM(L22:L31)</f>
        <v>2354.25</v>
      </c>
      <c r="M32" s="2">
        <f t="shared" ref="M32" si="15">SUM(M22:M31)</f>
        <v>1155.625</v>
      </c>
      <c r="N32" s="2">
        <f t="shared" ref="N32" si="16">SUM(N22:N31)</f>
        <v>1284.625</v>
      </c>
      <c r="O32" s="2">
        <f t="shared" ref="O32" si="17">SUM(O22:O31)</f>
        <v>1015.875</v>
      </c>
      <c r="P32" s="2">
        <f t="shared" ref="P32" si="18">SUM(P22:P31)</f>
        <v>5138.5</v>
      </c>
      <c r="Q32" s="7">
        <f>SUM(Table13[[#This Row],[Coke]:[Tarragon Steak]])</f>
        <v>17001.125</v>
      </c>
      <c r="R32" s="6"/>
      <c r="S32" s="9">
        <f t="shared" ref="S32:T32" si="19">SUM(S22:S31)</f>
        <v>17001.125</v>
      </c>
      <c r="T32" s="9">
        <f t="shared" si="19"/>
        <v>15241.130000000001</v>
      </c>
      <c r="U32">
        <f>Table13[[#This Row],[Received]]-Table13[[#This Row],[Grand Total to Pay]]</f>
        <v>-1759.994999999999</v>
      </c>
    </row>
  </sheetData>
  <mergeCells count="6">
    <mergeCell ref="A22:A31"/>
    <mergeCell ref="C1:H1"/>
    <mergeCell ref="I1:P1"/>
    <mergeCell ref="A3:A12"/>
    <mergeCell ref="C20:H20"/>
    <mergeCell ref="I20:P20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2"/>
  <sheetViews>
    <sheetView topLeftCell="A21" workbookViewId="0">
      <selection activeCell="S29" sqref="S29"/>
    </sheetView>
  </sheetViews>
  <sheetFormatPr defaultRowHeight="14.4" x14ac:dyDescent="0.3"/>
  <cols>
    <col min="2" max="2" width="10.6640625" customWidth="1"/>
    <col min="3" max="4" width="7.33203125" customWidth="1"/>
    <col min="5" max="5" width="7.88671875" customWidth="1"/>
    <col min="6" max="6" width="11.33203125" customWidth="1"/>
    <col min="7" max="7" width="1.109375" customWidth="1"/>
    <col min="8" max="8" width="1.33203125" customWidth="1"/>
    <col min="9" max="9" width="8.44140625" customWidth="1"/>
    <col min="10" max="10" width="9.109375" customWidth="1"/>
    <col min="11" max="11" width="8.33203125" customWidth="1"/>
    <col min="12" max="12" width="7.44140625" customWidth="1"/>
    <col min="13" max="13" width="8.5546875" customWidth="1"/>
    <col min="14" max="14" width="1.5546875" customWidth="1"/>
    <col min="15" max="15" width="0.6640625" customWidth="1"/>
    <col min="16" max="16" width="1.109375" customWidth="1"/>
    <col min="17" max="17" width="0.88671875" customWidth="1"/>
  </cols>
  <sheetData>
    <row r="1" spans="1:17" x14ac:dyDescent="0.3">
      <c r="C1" s="60" t="s">
        <v>22</v>
      </c>
      <c r="D1" s="60"/>
      <c r="E1" s="60"/>
      <c r="F1" s="60"/>
      <c r="G1" s="60"/>
      <c r="H1" s="60"/>
      <c r="I1" s="61" t="s">
        <v>23</v>
      </c>
      <c r="J1" s="61"/>
      <c r="K1" s="61"/>
      <c r="L1" s="61"/>
      <c r="M1" s="61"/>
      <c r="N1" s="61"/>
      <c r="O1" s="61"/>
      <c r="P1" s="61"/>
    </row>
    <row r="2" spans="1:17" ht="61.5" customHeight="1" x14ac:dyDescent="0.3">
      <c r="B2" s="1" t="s">
        <v>25</v>
      </c>
      <c r="C2" s="1" t="s">
        <v>10</v>
      </c>
      <c r="D2" s="1" t="s">
        <v>11</v>
      </c>
      <c r="E2" s="1" t="s">
        <v>103</v>
      </c>
      <c r="F2" s="1" t="s">
        <v>110</v>
      </c>
      <c r="G2" s="1" t="s">
        <v>40</v>
      </c>
      <c r="H2" s="1" t="s">
        <v>41</v>
      </c>
      <c r="I2" s="1" t="s">
        <v>104</v>
      </c>
      <c r="J2" s="1" t="s">
        <v>105</v>
      </c>
      <c r="K2" s="1" t="s">
        <v>106</v>
      </c>
      <c r="L2" s="1" t="s">
        <v>107</v>
      </c>
      <c r="M2" s="1" t="s">
        <v>108</v>
      </c>
      <c r="N2" s="1" t="s">
        <v>49</v>
      </c>
      <c r="O2" s="1" t="s">
        <v>58</v>
      </c>
      <c r="P2" s="1" t="s">
        <v>59</v>
      </c>
      <c r="Q2" s="3" t="s">
        <v>26</v>
      </c>
    </row>
    <row r="3" spans="1:17" x14ac:dyDescent="0.3">
      <c r="A3" s="62" t="s">
        <v>24</v>
      </c>
      <c r="B3" t="s">
        <v>4</v>
      </c>
      <c r="E3">
        <v>1</v>
      </c>
      <c r="K3">
        <v>1</v>
      </c>
      <c r="Q3" s="2">
        <f>SUM(Table119[[#This Row],[Coke]:[Column5]])</f>
        <v>2</v>
      </c>
    </row>
    <row r="4" spans="1:17" x14ac:dyDescent="0.3">
      <c r="A4" s="62"/>
      <c r="B4" t="s">
        <v>1</v>
      </c>
      <c r="C4">
        <v>1</v>
      </c>
      <c r="I4">
        <v>1</v>
      </c>
      <c r="Q4" s="2">
        <f>SUM(Table119[[#This Row],[Coke]:[Column5]])</f>
        <v>2</v>
      </c>
    </row>
    <row r="5" spans="1:17" x14ac:dyDescent="0.3">
      <c r="A5" s="62"/>
      <c r="B5" t="s">
        <v>9</v>
      </c>
      <c r="F5">
        <v>1</v>
      </c>
      <c r="L5">
        <v>1</v>
      </c>
      <c r="Q5" s="2">
        <f>SUM(Table119[[#This Row],[Coke]:[Column5]])</f>
        <v>2</v>
      </c>
    </row>
    <row r="6" spans="1:17" x14ac:dyDescent="0.3">
      <c r="A6" s="62"/>
      <c r="B6" t="s">
        <v>6</v>
      </c>
      <c r="D6">
        <v>1</v>
      </c>
      <c r="J6">
        <v>1</v>
      </c>
      <c r="N6" s="4"/>
      <c r="Q6" s="2">
        <f>SUM(Table119[[#This Row],[Coke]:[Column5]])</f>
        <v>2</v>
      </c>
    </row>
    <row r="7" spans="1:17" x14ac:dyDescent="0.3">
      <c r="A7" s="62"/>
      <c r="B7" t="s">
        <v>7</v>
      </c>
      <c r="D7">
        <v>1</v>
      </c>
      <c r="M7">
        <v>1</v>
      </c>
      <c r="Q7" s="2">
        <f>SUM(Table119[[#This Row],[Coke]:[Column5]])</f>
        <v>2</v>
      </c>
    </row>
    <row r="8" spans="1:17" x14ac:dyDescent="0.3">
      <c r="A8" s="62"/>
      <c r="B8" t="s">
        <v>89</v>
      </c>
      <c r="E8">
        <v>1</v>
      </c>
      <c r="K8">
        <v>1</v>
      </c>
      <c r="Q8" s="2">
        <f>SUM(Table119[[#This Row],[Coke]:[Column5]])</f>
        <v>2</v>
      </c>
    </row>
    <row r="9" spans="1:17" x14ac:dyDescent="0.3">
      <c r="A9" s="62"/>
      <c r="B9" t="s">
        <v>109</v>
      </c>
      <c r="C9">
        <v>1</v>
      </c>
      <c r="J9">
        <v>1</v>
      </c>
      <c r="Q9" s="2">
        <f>SUM(Table119[[#This Row],[Coke]:[Column5]])</f>
        <v>2</v>
      </c>
    </row>
    <row r="10" spans="1:17" x14ac:dyDescent="0.3">
      <c r="A10" s="62"/>
      <c r="Q10" s="2">
        <f>SUM(Table119[[#This Row],[Coke]:[Column5]])</f>
        <v>0</v>
      </c>
    </row>
    <row r="11" spans="1:17" x14ac:dyDescent="0.3">
      <c r="A11" s="62"/>
      <c r="K11" s="4"/>
      <c r="Q11" s="2">
        <f>SUM(Table119[[#This Row],[Coke]:[Column5]])</f>
        <v>0</v>
      </c>
    </row>
    <row r="12" spans="1:17" x14ac:dyDescent="0.3">
      <c r="A12" s="62"/>
      <c r="Q12" s="2">
        <f>SUM(Table119[[#This Row],[Coke]:[Column5]])</f>
        <v>0</v>
      </c>
    </row>
    <row r="13" spans="1:17" x14ac:dyDescent="0.3">
      <c r="B13" s="2" t="s">
        <v>26</v>
      </c>
      <c r="C13" s="2">
        <f>SUM(C3:C12)</f>
        <v>2</v>
      </c>
      <c r="D13" s="2">
        <f t="shared" ref="D13:P13" si="0">SUM(D3:D12)</f>
        <v>2</v>
      </c>
      <c r="E13" s="2">
        <f t="shared" si="0"/>
        <v>2</v>
      </c>
      <c r="F13" s="2">
        <f t="shared" si="0"/>
        <v>1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2</v>
      </c>
      <c r="K13" s="2">
        <f t="shared" si="0"/>
        <v>2</v>
      </c>
      <c r="L13" s="2">
        <f t="shared" si="0"/>
        <v>1</v>
      </c>
      <c r="M13" s="2">
        <f t="shared" si="0"/>
        <v>1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>SUM(Table119[[#This Row],[Coke]:[Column5]])</f>
        <v>14</v>
      </c>
    </row>
    <row r="15" spans="1:17" x14ac:dyDescent="0.3">
      <c r="B15" s="10" t="s">
        <v>29</v>
      </c>
      <c r="C15" s="5">
        <v>0.17</v>
      </c>
    </row>
    <row r="16" spans="1:17" x14ac:dyDescent="0.3">
      <c r="B16" s="10" t="s">
        <v>30</v>
      </c>
      <c r="C16" s="11">
        <v>150</v>
      </c>
      <c r="D16" s="11">
        <v>170</v>
      </c>
      <c r="E16" s="11">
        <v>150</v>
      </c>
      <c r="F16" s="11">
        <v>415</v>
      </c>
      <c r="G16" s="11"/>
      <c r="H16" s="11"/>
      <c r="I16" s="11">
        <v>999</v>
      </c>
      <c r="J16" s="11">
        <v>750</v>
      </c>
      <c r="K16" s="11">
        <v>799</v>
      </c>
      <c r="L16" s="11">
        <v>895</v>
      </c>
      <c r="M16" s="11">
        <v>450</v>
      </c>
      <c r="N16" s="11"/>
      <c r="O16" s="11"/>
      <c r="P16" s="11"/>
      <c r="Q16" s="11">
        <f>SUM(C16:P16)</f>
        <v>4778</v>
      </c>
    </row>
    <row r="17" spans="1:19" x14ac:dyDescent="0.3">
      <c r="B17" s="10" t="s">
        <v>31</v>
      </c>
      <c r="C17">
        <f t="shared" ref="C17:Q17" si="1">C16*$C$15</f>
        <v>25.500000000000004</v>
      </c>
      <c r="D17">
        <f t="shared" si="1"/>
        <v>28.900000000000002</v>
      </c>
      <c r="E17">
        <f t="shared" si="1"/>
        <v>25.500000000000004</v>
      </c>
      <c r="F17">
        <f t="shared" si="1"/>
        <v>70.550000000000011</v>
      </c>
      <c r="G17">
        <f t="shared" si="1"/>
        <v>0</v>
      </c>
      <c r="H17">
        <f t="shared" si="1"/>
        <v>0</v>
      </c>
      <c r="I17">
        <f t="shared" si="1"/>
        <v>169.83</v>
      </c>
      <c r="J17">
        <f t="shared" si="1"/>
        <v>127.50000000000001</v>
      </c>
      <c r="K17">
        <f t="shared" si="1"/>
        <v>135.83000000000001</v>
      </c>
      <c r="L17">
        <f t="shared" si="1"/>
        <v>152.15</v>
      </c>
      <c r="M17">
        <f t="shared" si="1"/>
        <v>76.5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812.2600000000001</v>
      </c>
    </row>
    <row r="18" spans="1:19" x14ac:dyDescent="0.3">
      <c r="B18" s="10" t="s">
        <v>32</v>
      </c>
      <c r="C18" s="12">
        <f>SUM(C16:C17)</f>
        <v>175.5</v>
      </c>
      <c r="D18" s="12">
        <f t="shared" ref="D18:Q18" si="2">SUM(D16:D17)</f>
        <v>198.9</v>
      </c>
      <c r="E18" s="12">
        <f t="shared" si="2"/>
        <v>175.5</v>
      </c>
      <c r="F18" s="12">
        <f t="shared" si="2"/>
        <v>485.55</v>
      </c>
      <c r="G18" s="12">
        <f t="shared" si="2"/>
        <v>0</v>
      </c>
      <c r="H18" s="12">
        <f t="shared" si="2"/>
        <v>0</v>
      </c>
      <c r="I18" s="12">
        <f t="shared" si="2"/>
        <v>1168.83</v>
      </c>
      <c r="J18" s="12">
        <f t="shared" si="2"/>
        <v>877.5</v>
      </c>
      <c r="K18" s="12">
        <f t="shared" si="2"/>
        <v>934.83</v>
      </c>
      <c r="L18" s="12">
        <f t="shared" si="2"/>
        <v>1047.1500000000001</v>
      </c>
      <c r="M18" s="12">
        <f t="shared" si="2"/>
        <v>526.5</v>
      </c>
      <c r="N18" s="12">
        <f t="shared" si="2"/>
        <v>0</v>
      </c>
      <c r="O18" s="12">
        <f t="shared" si="2"/>
        <v>0</v>
      </c>
      <c r="P18" s="12">
        <f t="shared" si="2"/>
        <v>0</v>
      </c>
      <c r="Q18" s="12">
        <f t="shared" si="2"/>
        <v>5590.26</v>
      </c>
    </row>
    <row r="20" spans="1:19" x14ac:dyDescent="0.3">
      <c r="C20" s="60" t="s">
        <v>22</v>
      </c>
      <c r="D20" s="60"/>
      <c r="E20" s="60"/>
      <c r="F20" s="60"/>
      <c r="G20" s="60"/>
      <c r="H20" s="60"/>
      <c r="I20" s="61" t="s">
        <v>23</v>
      </c>
      <c r="J20" s="61"/>
      <c r="K20" s="61"/>
      <c r="L20" s="61"/>
      <c r="M20" s="61"/>
      <c r="N20" s="61"/>
      <c r="O20" s="61"/>
      <c r="P20" s="61"/>
    </row>
    <row r="21" spans="1:19" ht="100.8" x14ac:dyDescent="0.3">
      <c r="B21" s="1" t="s">
        <v>25</v>
      </c>
      <c r="C21" s="1" t="s">
        <v>10</v>
      </c>
      <c r="D21" s="1" t="s">
        <v>11</v>
      </c>
      <c r="E21" s="1" t="s">
        <v>103</v>
      </c>
      <c r="F21" s="1" t="s">
        <v>110</v>
      </c>
      <c r="G21" s="1" t="s">
        <v>40</v>
      </c>
      <c r="H21" s="1" t="s">
        <v>41</v>
      </c>
      <c r="I21" s="1" t="s">
        <v>104</v>
      </c>
      <c r="J21" s="1" t="s">
        <v>105</v>
      </c>
      <c r="K21" s="1" t="s">
        <v>106</v>
      </c>
      <c r="L21" s="1" t="s">
        <v>107</v>
      </c>
      <c r="M21" s="1" t="s">
        <v>108</v>
      </c>
      <c r="N21" s="1" t="s">
        <v>49</v>
      </c>
      <c r="O21" s="1" t="s">
        <v>58</v>
      </c>
      <c r="P21" s="1" t="s">
        <v>59</v>
      </c>
      <c r="Q21" s="3" t="s">
        <v>26</v>
      </c>
      <c r="R21" s="1" t="s">
        <v>111</v>
      </c>
      <c r="S21" s="1" t="s">
        <v>112</v>
      </c>
    </row>
    <row r="22" spans="1:19" x14ac:dyDescent="0.3">
      <c r="A22" s="62" t="s">
        <v>24</v>
      </c>
      <c r="B22" t="s">
        <v>4</v>
      </c>
      <c r="C22" s="6">
        <f>C3*C$18</f>
        <v>0</v>
      </c>
      <c r="D22" s="6">
        <f t="shared" ref="D22:M22" si="3">D3*D$18</f>
        <v>0</v>
      </c>
      <c r="E22" s="6">
        <f t="shared" si="3"/>
        <v>175.5</v>
      </c>
      <c r="F22" s="6">
        <f t="shared" si="3"/>
        <v>0</v>
      </c>
      <c r="G22" s="6">
        <f t="shared" si="3"/>
        <v>0</v>
      </c>
      <c r="H22" s="6">
        <f t="shared" si="3"/>
        <v>0</v>
      </c>
      <c r="I22" s="6">
        <f t="shared" si="3"/>
        <v>0</v>
      </c>
      <c r="J22" s="6">
        <f t="shared" si="3"/>
        <v>0</v>
      </c>
      <c r="K22" s="6">
        <f t="shared" si="3"/>
        <v>934.83</v>
      </c>
      <c r="L22" s="6">
        <f t="shared" si="3"/>
        <v>0</v>
      </c>
      <c r="M22" s="6">
        <f t="shared" si="3"/>
        <v>0</v>
      </c>
      <c r="N22" s="6"/>
      <c r="O22" s="6"/>
      <c r="P22" s="6"/>
      <c r="Q22" s="7">
        <f>SUM(Table1320[[#This Row],[Coke]:[Column5]])</f>
        <v>1110.33</v>
      </c>
      <c r="R22" s="2">
        <f>6.787+Table1320[[#This Row],[Total]]</f>
        <v>1117.117</v>
      </c>
      <c r="S22" s="2"/>
    </row>
    <row r="23" spans="1:19" x14ac:dyDescent="0.3">
      <c r="A23" s="62"/>
      <c r="B23" t="s">
        <v>1</v>
      </c>
      <c r="C23" s="6">
        <f t="shared" ref="C23:M23" si="4">C4*C$18</f>
        <v>175.5</v>
      </c>
      <c r="D23" s="6">
        <f t="shared" si="4"/>
        <v>0</v>
      </c>
      <c r="E23" s="6">
        <f t="shared" si="4"/>
        <v>0</v>
      </c>
      <c r="F23" s="6">
        <f t="shared" si="4"/>
        <v>0</v>
      </c>
      <c r="G23" s="6">
        <f t="shared" si="4"/>
        <v>0</v>
      </c>
      <c r="H23" s="6">
        <f t="shared" si="4"/>
        <v>0</v>
      </c>
      <c r="I23" s="6">
        <f t="shared" si="4"/>
        <v>1168.83</v>
      </c>
      <c r="J23" s="6">
        <f t="shared" si="4"/>
        <v>0</v>
      </c>
      <c r="K23" s="6">
        <f t="shared" si="4"/>
        <v>0</v>
      </c>
      <c r="L23" s="6">
        <f t="shared" si="4"/>
        <v>0</v>
      </c>
      <c r="M23" s="6">
        <f t="shared" si="4"/>
        <v>0</v>
      </c>
      <c r="N23" s="6"/>
      <c r="O23" s="6"/>
      <c r="P23" s="6"/>
      <c r="Q23" s="7">
        <f>SUM(Table1320[[#This Row],[Coke]:[Column5]])</f>
        <v>1344.33</v>
      </c>
      <c r="R23" s="2">
        <f>6.787+Table1320[[#This Row],[Total]]</f>
        <v>1351.117</v>
      </c>
      <c r="S23">
        <v>1350</v>
      </c>
    </row>
    <row r="24" spans="1:19" x14ac:dyDescent="0.3">
      <c r="A24" s="62"/>
      <c r="B24" t="s">
        <v>9</v>
      </c>
      <c r="C24" s="6">
        <f t="shared" ref="C24:M24" si="5">C5*C$18</f>
        <v>0</v>
      </c>
      <c r="D24" s="6">
        <f t="shared" si="5"/>
        <v>0</v>
      </c>
      <c r="E24" s="6">
        <f t="shared" si="5"/>
        <v>0</v>
      </c>
      <c r="F24" s="6">
        <f t="shared" si="5"/>
        <v>485.55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0</v>
      </c>
      <c r="K24" s="6">
        <f t="shared" si="5"/>
        <v>0</v>
      </c>
      <c r="L24" s="6">
        <f t="shared" si="5"/>
        <v>1047.1500000000001</v>
      </c>
      <c r="M24" s="6">
        <f t="shared" si="5"/>
        <v>0</v>
      </c>
      <c r="N24" s="6"/>
      <c r="O24" s="6"/>
      <c r="P24" s="6"/>
      <c r="Q24" s="7">
        <f>SUM(Table1320[[#This Row],[Coke]:[Column5]])</f>
        <v>1532.7</v>
      </c>
      <c r="R24" s="2">
        <f>6.787+Table1320[[#This Row],[Total]]</f>
        <v>1539.4870000000001</v>
      </c>
      <c r="S24">
        <v>1539</v>
      </c>
    </row>
    <row r="25" spans="1:19" x14ac:dyDescent="0.3">
      <c r="A25" s="62"/>
      <c r="B25" t="s">
        <v>6</v>
      </c>
      <c r="C25" s="6">
        <f t="shared" ref="C25:M25" si="6">C6*C$18</f>
        <v>0</v>
      </c>
      <c r="D25" s="6">
        <f t="shared" si="6"/>
        <v>198.9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877.5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/>
      <c r="O25" s="6"/>
      <c r="P25" s="6"/>
      <c r="Q25" s="7">
        <f>SUM(Table1320[[#This Row],[Coke]:[Column5]])</f>
        <v>1076.4000000000001</v>
      </c>
      <c r="R25" s="2">
        <f>6.787+Table1320[[#This Row],[Total]]</f>
        <v>1083.1870000000001</v>
      </c>
      <c r="S25">
        <v>1083</v>
      </c>
    </row>
    <row r="26" spans="1:19" x14ac:dyDescent="0.3">
      <c r="A26" s="62"/>
      <c r="B26" t="s">
        <v>7</v>
      </c>
      <c r="C26" s="6">
        <f t="shared" ref="C26:M26" si="7">C7*C$18</f>
        <v>0</v>
      </c>
      <c r="D26" s="6">
        <f t="shared" si="7"/>
        <v>198.9</v>
      </c>
      <c r="E26" s="6">
        <f t="shared" si="7"/>
        <v>0</v>
      </c>
      <c r="F26" s="6">
        <f t="shared" si="7"/>
        <v>0</v>
      </c>
      <c r="G26" s="6">
        <f t="shared" si="7"/>
        <v>0</v>
      </c>
      <c r="H26" s="6">
        <f t="shared" si="7"/>
        <v>0</v>
      </c>
      <c r="I26" s="6">
        <f t="shared" si="7"/>
        <v>0</v>
      </c>
      <c r="J26" s="6">
        <f t="shared" si="7"/>
        <v>0</v>
      </c>
      <c r="K26" s="6">
        <f t="shared" si="7"/>
        <v>0</v>
      </c>
      <c r="L26" s="6">
        <f t="shared" si="7"/>
        <v>0</v>
      </c>
      <c r="M26" s="6">
        <f t="shared" si="7"/>
        <v>526.5</v>
      </c>
      <c r="N26" s="6"/>
      <c r="O26" s="6"/>
      <c r="P26" s="6"/>
      <c r="Q26" s="7">
        <f>SUM(Table1320[[#This Row],[Coke]:[Column5]])</f>
        <v>725.4</v>
      </c>
      <c r="R26" s="2">
        <f>6.787+Table1320[[#This Row],[Total]]</f>
        <v>732.18700000000001</v>
      </c>
      <c r="S26">
        <v>1210</v>
      </c>
    </row>
    <row r="27" spans="1:19" x14ac:dyDescent="0.3">
      <c r="A27" s="62"/>
      <c r="B27" t="s">
        <v>89</v>
      </c>
      <c r="C27" s="6">
        <f t="shared" ref="C27:M27" si="8">C8*C$18</f>
        <v>0</v>
      </c>
      <c r="D27" s="6">
        <f t="shared" si="8"/>
        <v>0</v>
      </c>
      <c r="E27" s="6">
        <f t="shared" si="8"/>
        <v>175.5</v>
      </c>
      <c r="F27" s="6">
        <f t="shared" si="8"/>
        <v>0</v>
      </c>
      <c r="G27" s="6">
        <f t="shared" si="8"/>
        <v>0</v>
      </c>
      <c r="H27" s="6">
        <f t="shared" si="8"/>
        <v>0</v>
      </c>
      <c r="I27" s="6">
        <f t="shared" si="8"/>
        <v>0</v>
      </c>
      <c r="J27" s="6">
        <f t="shared" si="8"/>
        <v>0</v>
      </c>
      <c r="K27" s="6">
        <f t="shared" si="8"/>
        <v>934.83</v>
      </c>
      <c r="L27" s="6">
        <f t="shared" si="8"/>
        <v>0</v>
      </c>
      <c r="M27" s="6">
        <f t="shared" si="8"/>
        <v>0</v>
      </c>
      <c r="N27" s="6"/>
      <c r="O27" s="6"/>
      <c r="P27" s="6"/>
      <c r="Q27" s="7">
        <f>SUM(Table1320[[#This Row],[Coke]:[Column5]])</f>
        <v>1110.33</v>
      </c>
      <c r="R27" s="2">
        <f>6.787+Table1320[[#This Row],[Total]]</f>
        <v>1117.117</v>
      </c>
      <c r="S27">
        <v>1120</v>
      </c>
    </row>
    <row r="28" spans="1:19" x14ac:dyDescent="0.3">
      <c r="A28" s="62"/>
      <c r="B28" t="s">
        <v>109</v>
      </c>
      <c r="C28" s="6">
        <f t="shared" ref="C28:M28" si="9">C9*C$18</f>
        <v>175.5</v>
      </c>
      <c r="D28" s="6">
        <f t="shared" si="9"/>
        <v>0</v>
      </c>
      <c r="E28" s="6">
        <f t="shared" si="9"/>
        <v>0</v>
      </c>
      <c r="F28" s="6">
        <f t="shared" si="9"/>
        <v>0</v>
      </c>
      <c r="G28" s="6">
        <f t="shared" si="9"/>
        <v>0</v>
      </c>
      <c r="H28" s="6">
        <f t="shared" si="9"/>
        <v>0</v>
      </c>
      <c r="I28" s="6">
        <f t="shared" si="9"/>
        <v>0</v>
      </c>
      <c r="J28" s="6">
        <f t="shared" si="9"/>
        <v>877.5</v>
      </c>
      <c r="K28" s="6">
        <f t="shared" si="9"/>
        <v>0</v>
      </c>
      <c r="L28" s="6">
        <f t="shared" si="9"/>
        <v>0</v>
      </c>
      <c r="M28" s="6">
        <f t="shared" si="9"/>
        <v>0</v>
      </c>
      <c r="N28" s="6"/>
      <c r="O28" s="6"/>
      <c r="P28" s="6"/>
      <c r="Q28" s="7">
        <f>SUM(Table1320[[#This Row],[Coke]:[Column5]])</f>
        <v>1053</v>
      </c>
      <c r="R28" s="2">
        <f>6.787+Table1320[[#This Row],[Total]]</f>
        <v>1059.787</v>
      </c>
      <c r="S28">
        <v>1060</v>
      </c>
    </row>
    <row r="29" spans="1:19" x14ac:dyDescent="0.3">
      <c r="A29" s="6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>
        <f>SUM(Table1320[[#This Row],[Coke]:[Column5]])</f>
        <v>0</v>
      </c>
    </row>
    <row r="30" spans="1:19" x14ac:dyDescent="0.3">
      <c r="A30" s="6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f>SUM(Table1320[[#This Row],[Coke]:[Column5]])</f>
        <v>0</v>
      </c>
    </row>
    <row r="31" spans="1:19" x14ac:dyDescent="0.3">
      <c r="A31" s="6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>
        <f>SUM(Table1320[[#This Row],[Coke]:[Column5]])</f>
        <v>0</v>
      </c>
    </row>
    <row r="32" spans="1:19" x14ac:dyDescent="0.3">
      <c r="B32" s="2" t="s">
        <v>26</v>
      </c>
      <c r="C32" s="2">
        <f>SUM(C22:C31)</f>
        <v>351</v>
      </c>
      <c r="D32" s="2">
        <f t="shared" ref="D32:P32" si="10">SUM(D22:D31)</f>
        <v>397.8</v>
      </c>
      <c r="E32" s="2">
        <f t="shared" si="10"/>
        <v>351</v>
      </c>
      <c r="F32" s="2">
        <f t="shared" si="10"/>
        <v>485.55</v>
      </c>
      <c r="G32" s="2">
        <f t="shared" si="10"/>
        <v>0</v>
      </c>
      <c r="H32" s="2">
        <f t="shared" si="10"/>
        <v>0</v>
      </c>
      <c r="I32" s="2">
        <f t="shared" si="10"/>
        <v>1168.83</v>
      </c>
      <c r="J32" s="2">
        <f t="shared" si="10"/>
        <v>1755</v>
      </c>
      <c r="K32" s="2">
        <f t="shared" si="10"/>
        <v>1869.66</v>
      </c>
      <c r="L32" s="2">
        <f t="shared" si="10"/>
        <v>1047.1500000000001</v>
      </c>
      <c r="M32" s="2">
        <f t="shared" si="10"/>
        <v>526.5</v>
      </c>
      <c r="N32" s="2">
        <f t="shared" si="10"/>
        <v>0</v>
      </c>
      <c r="O32" s="2">
        <f t="shared" si="10"/>
        <v>0</v>
      </c>
      <c r="P32" s="2">
        <f t="shared" si="10"/>
        <v>0</v>
      </c>
      <c r="Q32" s="7">
        <f>SUM(Table1320[[#This Row],[Coke]:[Column5]])</f>
        <v>7952.49</v>
      </c>
      <c r="R32" s="9">
        <f t="shared" ref="R32:S32" si="11">SUM(R22:R31)</f>
        <v>7999.9990000000007</v>
      </c>
      <c r="S32" s="9">
        <f t="shared" si="11"/>
        <v>7362</v>
      </c>
    </row>
  </sheetData>
  <mergeCells count="6">
    <mergeCell ref="A22:A31"/>
    <mergeCell ref="C1:H1"/>
    <mergeCell ref="I1:P1"/>
    <mergeCell ref="A3:A12"/>
    <mergeCell ref="C20:H20"/>
    <mergeCell ref="I20:P20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topLeftCell="A13" workbookViewId="0">
      <selection activeCell="Q25" sqref="Q25"/>
    </sheetView>
  </sheetViews>
  <sheetFormatPr defaultRowHeight="14.4" x14ac:dyDescent="0.3"/>
  <cols>
    <col min="2" max="2" width="9.88671875" customWidth="1"/>
    <col min="3" max="3" width="10.88671875" bestFit="1" customWidth="1"/>
    <col min="4" max="4" width="7.33203125" customWidth="1"/>
    <col min="5" max="5" width="7.88671875" customWidth="1"/>
    <col min="6" max="6" width="9.33203125" customWidth="1"/>
    <col min="7" max="7" width="7" customWidth="1"/>
    <col min="8" max="8" width="9.109375" customWidth="1"/>
    <col min="9" max="9" width="8.44140625" customWidth="1"/>
    <col min="10" max="10" width="9.109375" customWidth="1"/>
    <col min="11" max="11" width="8.33203125" customWidth="1"/>
    <col min="12" max="12" width="7.44140625" customWidth="1"/>
    <col min="13" max="13" width="8.5546875" customWidth="1"/>
    <col min="14" max="14" width="8.6640625" customWidth="1"/>
    <col min="15" max="15" width="10.88671875" customWidth="1"/>
    <col min="16" max="16" width="8.88671875" customWidth="1"/>
    <col min="17" max="17" width="10" bestFit="1" customWidth="1"/>
  </cols>
  <sheetData>
    <row r="1" spans="1:17" x14ac:dyDescent="0.3">
      <c r="C1" s="60" t="s">
        <v>22</v>
      </c>
      <c r="D1" s="60"/>
      <c r="E1" s="60"/>
      <c r="F1" s="60"/>
      <c r="G1" s="60"/>
      <c r="H1" s="60"/>
      <c r="I1" s="61" t="s">
        <v>23</v>
      </c>
      <c r="J1" s="61"/>
      <c r="K1" s="61"/>
      <c r="L1" s="61"/>
      <c r="M1" s="61"/>
      <c r="N1" s="61"/>
      <c r="O1" s="61"/>
      <c r="P1" s="61"/>
    </row>
    <row r="2" spans="1:17" ht="61.5" customHeight="1" x14ac:dyDescent="0.3">
      <c r="B2" s="1" t="s">
        <v>25</v>
      </c>
      <c r="C2" s="1" t="s">
        <v>168</v>
      </c>
      <c r="D2" s="1" t="s">
        <v>83</v>
      </c>
      <c r="E2" s="1" t="s">
        <v>100</v>
      </c>
      <c r="F2" s="1" t="s">
        <v>14</v>
      </c>
      <c r="G2" s="1" t="s">
        <v>169</v>
      </c>
      <c r="H2" s="1" t="s">
        <v>170</v>
      </c>
      <c r="I2" s="1" t="s">
        <v>171</v>
      </c>
      <c r="J2" s="1" t="s">
        <v>172</v>
      </c>
      <c r="K2" s="1" t="s">
        <v>173</v>
      </c>
      <c r="L2" s="1" t="s">
        <v>174</v>
      </c>
      <c r="M2" s="1" t="s">
        <v>58</v>
      </c>
      <c r="N2" s="1" t="s">
        <v>40</v>
      </c>
      <c r="O2" s="1" t="s">
        <v>41</v>
      </c>
      <c r="P2" s="1" t="s">
        <v>49</v>
      </c>
      <c r="Q2" s="3" t="s">
        <v>26</v>
      </c>
    </row>
    <row r="3" spans="1:17" x14ac:dyDescent="0.3">
      <c r="A3" s="62" t="s">
        <v>24</v>
      </c>
      <c r="B3" t="s">
        <v>1</v>
      </c>
      <c r="E3">
        <v>1</v>
      </c>
      <c r="J3">
        <v>1</v>
      </c>
      <c r="Q3" s="2">
        <f>SUM(Table1429[[#This Row],[Shake]:[Column3]])</f>
        <v>2</v>
      </c>
    </row>
    <row r="4" spans="1:17" x14ac:dyDescent="0.3">
      <c r="A4" s="62"/>
      <c r="B4" t="s">
        <v>126</v>
      </c>
      <c r="F4">
        <v>1</v>
      </c>
      <c r="L4">
        <v>0.5</v>
      </c>
      <c r="Q4" s="2">
        <f>SUM(Table1429[[#This Row],[Shake]:[Column3]])</f>
        <v>1.5</v>
      </c>
    </row>
    <row r="5" spans="1:17" x14ac:dyDescent="0.3">
      <c r="A5" s="62"/>
      <c r="B5" t="s">
        <v>64</v>
      </c>
      <c r="C5">
        <v>1</v>
      </c>
      <c r="I5">
        <v>1</v>
      </c>
      <c r="Q5" s="2">
        <f>SUM(Table1429[[#This Row],[Shake]:[Column3]])</f>
        <v>2</v>
      </c>
    </row>
    <row r="6" spans="1:17" x14ac:dyDescent="0.3">
      <c r="A6" s="62"/>
      <c r="B6" t="s">
        <v>9</v>
      </c>
      <c r="C6">
        <v>1</v>
      </c>
      <c r="N6" s="4"/>
      <c r="Q6" s="2">
        <f>SUM(Table1429[[#This Row],[Shake]:[Column3]])</f>
        <v>1</v>
      </c>
    </row>
    <row r="7" spans="1:17" x14ac:dyDescent="0.3">
      <c r="A7" s="62"/>
      <c r="B7" t="s">
        <v>6</v>
      </c>
      <c r="D7">
        <v>1</v>
      </c>
      <c r="K7">
        <v>1</v>
      </c>
      <c r="Q7" s="2">
        <f>SUM(Table1429[[#This Row],[Shake]:[Column3]])</f>
        <v>2</v>
      </c>
    </row>
    <row r="8" spans="1:17" x14ac:dyDescent="0.3">
      <c r="A8" s="62"/>
      <c r="B8" t="s">
        <v>7</v>
      </c>
      <c r="F8">
        <v>1</v>
      </c>
      <c r="L8">
        <v>0.5</v>
      </c>
      <c r="Q8" s="2">
        <f>SUM(Table1429[[#This Row],[Shake]:[Column3]])</f>
        <v>1.5</v>
      </c>
    </row>
    <row r="9" spans="1:17" x14ac:dyDescent="0.3">
      <c r="A9" s="62"/>
      <c r="Q9" s="2"/>
    </row>
    <row r="10" spans="1:17" x14ac:dyDescent="0.3">
      <c r="A10" s="62"/>
      <c r="Q10" s="2"/>
    </row>
    <row r="11" spans="1:17" x14ac:dyDescent="0.3">
      <c r="A11" s="62"/>
      <c r="K11" s="4"/>
      <c r="Q11" s="2"/>
    </row>
    <row r="12" spans="1:17" x14ac:dyDescent="0.3">
      <c r="A12" s="62"/>
      <c r="Q12" s="2"/>
    </row>
    <row r="13" spans="1:17" x14ac:dyDescent="0.3">
      <c r="B13" s="2" t="s">
        <v>26</v>
      </c>
      <c r="C13" s="2">
        <f>SUM(C3:C12)</f>
        <v>2</v>
      </c>
      <c r="D13" s="2">
        <f t="shared" ref="D13:P13" si="0">SUM(D3:D12)</f>
        <v>1</v>
      </c>
      <c r="E13" s="2">
        <f t="shared" si="0"/>
        <v>1</v>
      </c>
      <c r="F13" s="2">
        <f t="shared" si="0"/>
        <v>2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0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>SUM(Table1429[[#This Row],[Shake]:[Column3]])</f>
        <v>10</v>
      </c>
    </row>
    <row r="15" spans="1:17" x14ac:dyDescent="0.3">
      <c r="B15" s="10" t="s">
        <v>29</v>
      </c>
      <c r="C15" s="5">
        <v>0.15</v>
      </c>
    </row>
    <row r="16" spans="1:17" x14ac:dyDescent="0.3">
      <c r="B16" s="10" t="s">
        <v>30</v>
      </c>
      <c r="C16" s="11">
        <v>390</v>
      </c>
      <c r="D16" s="11">
        <v>140</v>
      </c>
      <c r="E16" s="11">
        <v>140</v>
      </c>
      <c r="F16" s="11">
        <v>315</v>
      </c>
      <c r="G16" s="11">
        <v>0</v>
      </c>
      <c r="H16" s="11">
        <v>0</v>
      </c>
      <c r="I16" s="11">
        <v>350</v>
      </c>
      <c r="J16" s="11">
        <v>950</v>
      </c>
      <c r="K16" s="11">
        <v>950</v>
      </c>
      <c r="L16" s="11">
        <v>950</v>
      </c>
      <c r="M16" s="11">
        <v>0</v>
      </c>
      <c r="N16" s="11">
        <v>0</v>
      </c>
      <c r="O16" s="11">
        <v>0</v>
      </c>
      <c r="P16" s="11">
        <v>0</v>
      </c>
      <c r="Q16" s="11">
        <f>SUM(C16:P16)</f>
        <v>4185</v>
      </c>
    </row>
    <row r="17" spans="1:17" x14ac:dyDescent="0.3">
      <c r="B17" s="10" t="s">
        <v>31</v>
      </c>
      <c r="C17">
        <f t="shared" ref="C17:Q17" si="1">C16*$C$15</f>
        <v>58.5</v>
      </c>
      <c r="D17">
        <f t="shared" si="1"/>
        <v>21</v>
      </c>
      <c r="E17">
        <f t="shared" si="1"/>
        <v>21</v>
      </c>
      <c r="F17">
        <f t="shared" si="1"/>
        <v>47.25</v>
      </c>
      <c r="G17">
        <f t="shared" si="1"/>
        <v>0</v>
      </c>
      <c r="H17">
        <f t="shared" si="1"/>
        <v>0</v>
      </c>
      <c r="I17">
        <f t="shared" si="1"/>
        <v>52.5</v>
      </c>
      <c r="J17">
        <f t="shared" si="1"/>
        <v>142.5</v>
      </c>
      <c r="K17">
        <f t="shared" si="1"/>
        <v>142.5</v>
      </c>
      <c r="L17">
        <f t="shared" si="1"/>
        <v>142.5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627.75</v>
      </c>
    </row>
    <row r="18" spans="1:17" x14ac:dyDescent="0.3">
      <c r="B18" s="10" t="s">
        <v>32</v>
      </c>
      <c r="C18" s="12">
        <f>SUM(C16:C17)</f>
        <v>448.5</v>
      </c>
      <c r="D18" s="12">
        <f t="shared" ref="D18:Q18" si="2">SUM(D16:D17)</f>
        <v>161</v>
      </c>
      <c r="E18" s="12">
        <f t="shared" si="2"/>
        <v>161</v>
      </c>
      <c r="F18" s="12">
        <f t="shared" si="2"/>
        <v>362.25</v>
      </c>
      <c r="G18" s="12">
        <f t="shared" si="2"/>
        <v>0</v>
      </c>
      <c r="H18" s="12">
        <f t="shared" si="2"/>
        <v>0</v>
      </c>
      <c r="I18" s="12">
        <f t="shared" si="2"/>
        <v>402.5</v>
      </c>
      <c r="J18" s="12">
        <f t="shared" si="2"/>
        <v>1092.5</v>
      </c>
      <c r="K18" s="12">
        <f t="shared" si="2"/>
        <v>1092.5</v>
      </c>
      <c r="L18" s="12">
        <f t="shared" si="2"/>
        <v>1092.5</v>
      </c>
      <c r="M18" s="12">
        <f t="shared" si="2"/>
        <v>0</v>
      </c>
      <c r="N18" s="12">
        <f t="shared" si="2"/>
        <v>0</v>
      </c>
      <c r="O18" s="12">
        <f t="shared" si="2"/>
        <v>0</v>
      </c>
      <c r="P18" s="12">
        <f t="shared" si="2"/>
        <v>0</v>
      </c>
      <c r="Q18" s="12">
        <f t="shared" si="2"/>
        <v>4812.75</v>
      </c>
    </row>
    <row r="20" spans="1:17" x14ac:dyDescent="0.3">
      <c r="C20" s="60" t="s">
        <v>22</v>
      </c>
      <c r="D20" s="60"/>
      <c r="E20" s="60"/>
      <c r="F20" s="60"/>
      <c r="G20" s="60"/>
      <c r="H20" s="60"/>
      <c r="I20" s="61" t="s">
        <v>23</v>
      </c>
      <c r="J20" s="61"/>
      <c r="K20" s="61"/>
      <c r="L20" s="61"/>
      <c r="M20" s="61"/>
      <c r="N20" s="61"/>
      <c r="O20" s="61"/>
      <c r="P20" s="61"/>
    </row>
    <row r="21" spans="1:17" ht="28.8" x14ac:dyDescent="0.3">
      <c r="B21" s="1" t="s">
        <v>25</v>
      </c>
      <c r="C21" s="1" t="s">
        <v>168</v>
      </c>
      <c r="D21" s="1" t="s">
        <v>83</v>
      </c>
      <c r="E21" s="1" t="s">
        <v>100</v>
      </c>
      <c r="F21" s="1" t="s">
        <v>14</v>
      </c>
      <c r="G21" s="1" t="s">
        <v>169</v>
      </c>
      <c r="H21" s="1" t="s">
        <v>170</v>
      </c>
      <c r="I21" s="1" t="s">
        <v>171</v>
      </c>
      <c r="J21" s="1" t="s">
        <v>172</v>
      </c>
      <c r="K21" s="1" t="s">
        <v>173</v>
      </c>
      <c r="L21" s="1" t="s">
        <v>174</v>
      </c>
      <c r="M21" s="1" t="s">
        <v>42</v>
      </c>
      <c r="N21" s="1" t="s">
        <v>43</v>
      </c>
      <c r="O21" s="1" t="s">
        <v>144</v>
      </c>
      <c r="P21" s="1" t="s">
        <v>175</v>
      </c>
      <c r="Q21" s="3" t="s">
        <v>26</v>
      </c>
    </row>
    <row r="22" spans="1:17" x14ac:dyDescent="0.3">
      <c r="A22" s="62" t="s">
        <v>24</v>
      </c>
      <c r="B22" t="s">
        <v>1</v>
      </c>
      <c r="C22">
        <f>C3*C$18</f>
        <v>0</v>
      </c>
      <c r="D22">
        <f t="shared" ref="D22:L22" si="3">D3*D$18</f>
        <v>0</v>
      </c>
      <c r="E22">
        <f t="shared" si="3"/>
        <v>161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1092.5</v>
      </c>
      <c r="K22">
        <f t="shared" si="3"/>
        <v>0</v>
      </c>
      <c r="L22">
        <f t="shared" si="3"/>
        <v>0</v>
      </c>
      <c r="P22" s="26">
        <f>100/6</f>
        <v>16.666666666666668</v>
      </c>
      <c r="Q22" s="27">
        <f>SUM(Table13530[[#This Row],[Shake]:[TIP]])</f>
        <v>1270.1666666666667</v>
      </c>
    </row>
    <row r="23" spans="1:17" x14ac:dyDescent="0.3">
      <c r="A23" s="62"/>
      <c r="B23" t="s">
        <v>126</v>
      </c>
      <c r="C23">
        <f t="shared" ref="C23:L27" si="4">C4*C$18</f>
        <v>0</v>
      </c>
      <c r="D23">
        <f t="shared" si="4"/>
        <v>0</v>
      </c>
      <c r="E23">
        <f t="shared" si="4"/>
        <v>0</v>
      </c>
      <c r="F23">
        <f t="shared" si="4"/>
        <v>362.25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546.25</v>
      </c>
      <c r="P23" s="26">
        <f t="shared" ref="P23:P27" si="5">100/6</f>
        <v>16.666666666666668</v>
      </c>
      <c r="Q23" s="27">
        <f>SUM(Table13530[[#This Row],[Shake]:[TIP]])</f>
        <v>925.16666666666663</v>
      </c>
    </row>
    <row r="24" spans="1:17" x14ac:dyDescent="0.3">
      <c r="A24" s="62"/>
      <c r="B24" t="s">
        <v>64</v>
      </c>
      <c r="C24">
        <f t="shared" si="4"/>
        <v>448.5</v>
      </c>
      <c r="D24">
        <f t="shared" si="4"/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402.5</v>
      </c>
      <c r="J24">
        <f t="shared" si="4"/>
        <v>0</v>
      </c>
      <c r="K24">
        <f t="shared" si="4"/>
        <v>0</v>
      </c>
      <c r="L24">
        <f t="shared" si="4"/>
        <v>0</v>
      </c>
      <c r="P24" s="26">
        <f t="shared" si="5"/>
        <v>16.666666666666668</v>
      </c>
      <c r="Q24" s="27">
        <f>SUM(Table13530[[#This Row],[Shake]:[TIP]])</f>
        <v>867.66666666666663</v>
      </c>
    </row>
    <row r="25" spans="1:17" x14ac:dyDescent="0.3">
      <c r="A25" s="62"/>
      <c r="B25" t="s">
        <v>9</v>
      </c>
      <c r="C25">
        <f t="shared" si="4"/>
        <v>448.5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N25" s="4"/>
      <c r="P25" s="26">
        <f t="shared" si="5"/>
        <v>16.666666666666668</v>
      </c>
      <c r="Q25" s="27">
        <f>SUM(Table13530[[#This Row],[Shake]:[TIP]])</f>
        <v>465.16666666666669</v>
      </c>
    </row>
    <row r="26" spans="1:17" x14ac:dyDescent="0.3">
      <c r="A26" s="62"/>
      <c r="B26" t="s">
        <v>6</v>
      </c>
      <c r="C26">
        <f t="shared" si="4"/>
        <v>0</v>
      </c>
      <c r="D26">
        <f t="shared" si="4"/>
        <v>161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1092.5</v>
      </c>
      <c r="L26">
        <f t="shared" si="4"/>
        <v>0</v>
      </c>
      <c r="P26" s="26">
        <f t="shared" si="5"/>
        <v>16.666666666666668</v>
      </c>
      <c r="Q26" s="27">
        <f>SUM(Table13530[[#This Row],[Shake]:[TIP]])</f>
        <v>1270.1666666666667</v>
      </c>
    </row>
    <row r="27" spans="1:17" x14ac:dyDescent="0.3">
      <c r="A27" s="62"/>
      <c r="B27" t="s">
        <v>7</v>
      </c>
      <c r="C27">
        <f t="shared" si="4"/>
        <v>0</v>
      </c>
      <c r="D27">
        <f t="shared" si="4"/>
        <v>0</v>
      </c>
      <c r="E27">
        <f t="shared" si="4"/>
        <v>0</v>
      </c>
      <c r="F27">
        <f t="shared" si="4"/>
        <v>362.25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546.25</v>
      </c>
      <c r="P27" s="26">
        <f t="shared" si="5"/>
        <v>16.666666666666668</v>
      </c>
      <c r="Q27" s="27">
        <f>SUM(Table13530[[#This Row],[Shake]:[TIP]])</f>
        <v>925.16666666666663</v>
      </c>
    </row>
    <row r="28" spans="1:17" x14ac:dyDescent="0.3">
      <c r="A28" s="62"/>
      <c r="P28" s="26"/>
      <c r="Q28" s="27">
        <f>SUM(Table13530[[#This Row],[Shake]:[TIP]])</f>
        <v>0</v>
      </c>
    </row>
    <row r="29" spans="1:17" x14ac:dyDescent="0.3">
      <c r="B29" s="2" t="s">
        <v>26</v>
      </c>
      <c r="C29" s="2">
        <f t="shared" ref="C29:Q29" si="6">SUM(C22:C28)</f>
        <v>897</v>
      </c>
      <c r="D29" s="2">
        <f t="shared" si="6"/>
        <v>161</v>
      </c>
      <c r="E29" s="2">
        <f t="shared" si="6"/>
        <v>161</v>
      </c>
      <c r="F29" s="2">
        <f t="shared" si="6"/>
        <v>724.5</v>
      </c>
      <c r="G29" s="2">
        <f t="shared" si="6"/>
        <v>0</v>
      </c>
      <c r="H29" s="2">
        <f t="shared" si="6"/>
        <v>0</v>
      </c>
      <c r="I29" s="2">
        <f t="shared" si="6"/>
        <v>402.5</v>
      </c>
      <c r="J29" s="2">
        <f t="shared" si="6"/>
        <v>1092.5</v>
      </c>
      <c r="K29" s="2">
        <f t="shared" si="6"/>
        <v>1092.5</v>
      </c>
      <c r="L29" s="2">
        <f t="shared" si="6"/>
        <v>1092.5</v>
      </c>
      <c r="M29" s="2">
        <f t="shared" si="6"/>
        <v>0</v>
      </c>
      <c r="N29" s="2">
        <f t="shared" si="6"/>
        <v>0</v>
      </c>
      <c r="O29" s="2">
        <f t="shared" si="6"/>
        <v>0</v>
      </c>
      <c r="P29" s="2">
        <f t="shared" si="6"/>
        <v>100.00000000000001</v>
      </c>
      <c r="Q29" s="34">
        <f t="shared" si="6"/>
        <v>5723.5</v>
      </c>
    </row>
  </sheetData>
  <mergeCells count="6">
    <mergeCell ref="A22:A28"/>
    <mergeCell ref="C1:H1"/>
    <mergeCell ref="I1:P1"/>
    <mergeCell ref="A3:A12"/>
    <mergeCell ref="C20:H20"/>
    <mergeCell ref="I20:P20"/>
  </mergeCell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53"/>
  <sheetViews>
    <sheetView workbookViewId="0">
      <selection sqref="A1:M17"/>
    </sheetView>
  </sheetViews>
  <sheetFormatPr defaultRowHeight="14.4" x14ac:dyDescent="0.3"/>
  <cols>
    <col min="3" max="3" width="12.5546875" bestFit="1" customWidth="1"/>
    <col min="4" max="4" width="12" bestFit="1" customWidth="1"/>
    <col min="5" max="6" width="12" customWidth="1"/>
    <col min="8" max="8" width="12" bestFit="1" customWidth="1"/>
    <col min="10" max="10" width="10" bestFit="1" customWidth="1"/>
    <col min="13" max="13" width="12" bestFit="1" customWidth="1"/>
    <col min="14" max="14" width="13.6640625" bestFit="1" customWidth="1"/>
    <col min="15" max="15" width="10.109375" bestFit="1" customWidth="1"/>
  </cols>
  <sheetData>
    <row r="1" spans="1:18" x14ac:dyDescent="0.3">
      <c r="A1" s="10" t="s">
        <v>176</v>
      </c>
      <c r="B1" s="38" t="s">
        <v>182</v>
      </c>
      <c r="C1" s="38" t="s">
        <v>183</v>
      </c>
      <c r="D1" s="38" t="s">
        <v>184</v>
      </c>
      <c r="E1" s="41" t="s">
        <v>37</v>
      </c>
      <c r="F1" s="41" t="s">
        <v>22</v>
      </c>
      <c r="G1" s="38" t="s">
        <v>186</v>
      </c>
      <c r="H1" s="38" t="s">
        <v>187</v>
      </c>
      <c r="I1" s="38" t="s">
        <v>188</v>
      </c>
      <c r="J1" s="38" t="s">
        <v>189</v>
      </c>
      <c r="K1" s="38" t="s">
        <v>190</v>
      </c>
      <c r="L1" s="41" t="s">
        <v>194</v>
      </c>
      <c r="M1" s="37" t="s">
        <v>195</v>
      </c>
      <c r="N1" s="41" t="s">
        <v>196</v>
      </c>
      <c r="O1" s="44" t="s">
        <v>197</v>
      </c>
      <c r="Q1" t="s">
        <v>198</v>
      </c>
    </row>
    <row r="2" spans="1:18" x14ac:dyDescent="0.3">
      <c r="A2" s="39" t="s">
        <v>125</v>
      </c>
      <c r="B2">
        <v>300</v>
      </c>
      <c r="M2" s="37">
        <f>SUM(B2:K2)</f>
        <v>300</v>
      </c>
      <c r="O2" s="45">
        <f>N2-M2</f>
        <v>-300</v>
      </c>
      <c r="P2" s="39" t="s">
        <v>125</v>
      </c>
      <c r="Q2">
        <v>-300</v>
      </c>
      <c r="R2">
        <f>O2-Q2</f>
        <v>0</v>
      </c>
    </row>
    <row r="3" spans="1:18" x14ac:dyDescent="0.3">
      <c r="A3" s="39" t="s">
        <v>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37">
        <f>SUM(B3:K3)</f>
        <v>0</v>
      </c>
      <c r="N3">
        <v>524.99999999999989</v>
      </c>
      <c r="O3" s="46">
        <f t="shared" ref="O3:O14" si="0">N3-M3</f>
        <v>524.99999999999989</v>
      </c>
      <c r="P3" s="39" t="s">
        <v>6</v>
      </c>
      <c r="Q3">
        <v>525</v>
      </c>
      <c r="R3">
        <f t="shared" ref="R3:R14" si="1">O3-Q3</f>
        <v>0</v>
      </c>
    </row>
    <row r="4" spans="1:18" x14ac:dyDescent="0.3">
      <c r="A4" s="39" t="s">
        <v>7</v>
      </c>
      <c r="M4" s="37">
        <f>SUM(B4:K4)</f>
        <v>0</v>
      </c>
      <c r="N4">
        <v>574.99999999999989</v>
      </c>
      <c r="O4" s="46">
        <f t="shared" si="0"/>
        <v>574.99999999999989</v>
      </c>
      <c r="P4" s="39" t="s">
        <v>7</v>
      </c>
      <c r="Q4">
        <v>575</v>
      </c>
      <c r="R4">
        <f t="shared" si="1"/>
        <v>0</v>
      </c>
    </row>
    <row r="5" spans="1:18" x14ac:dyDescent="0.3">
      <c r="A5" s="39" t="s">
        <v>177</v>
      </c>
      <c r="B5" s="43">
        <v>100</v>
      </c>
      <c r="C5" s="43">
        <v>3000</v>
      </c>
      <c r="D5" s="43"/>
      <c r="E5" s="43"/>
      <c r="F5" s="43"/>
      <c r="G5" s="43">
        <v>100</v>
      </c>
      <c r="H5" s="43">
        <v>750</v>
      </c>
      <c r="I5" s="43">
        <v>450</v>
      </c>
      <c r="J5" s="43"/>
      <c r="K5" s="43"/>
      <c r="L5" s="43">
        <v>-20</v>
      </c>
      <c r="M5" s="37">
        <f>SUM(B5:L5)</f>
        <v>4380</v>
      </c>
      <c r="N5">
        <v>574.99999999999989</v>
      </c>
      <c r="O5" s="46">
        <f t="shared" si="0"/>
        <v>-3805</v>
      </c>
      <c r="P5" s="39" t="s">
        <v>177</v>
      </c>
      <c r="Q5">
        <v>-3805</v>
      </c>
      <c r="R5">
        <f t="shared" si="1"/>
        <v>0</v>
      </c>
    </row>
    <row r="6" spans="1:18" x14ac:dyDescent="0.3">
      <c r="A6" s="39" t="s">
        <v>178</v>
      </c>
      <c r="M6" s="37">
        <f t="shared" ref="M6:M14" si="2">SUM(B6:K6)</f>
        <v>0</v>
      </c>
      <c r="N6">
        <v>524.99999999999989</v>
      </c>
      <c r="O6" s="46">
        <f t="shared" si="0"/>
        <v>524.99999999999989</v>
      </c>
      <c r="P6" s="39" t="s">
        <v>178</v>
      </c>
      <c r="Q6">
        <v>520</v>
      </c>
      <c r="R6">
        <f t="shared" si="1"/>
        <v>4.9999999999998863</v>
      </c>
    </row>
    <row r="7" spans="1:18" x14ac:dyDescent="0.3">
      <c r="A7" s="39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37">
        <f t="shared" si="2"/>
        <v>0</v>
      </c>
      <c r="N7">
        <v>875</v>
      </c>
      <c r="O7" s="46">
        <f t="shared" si="0"/>
        <v>875</v>
      </c>
      <c r="P7" s="39" t="s">
        <v>74</v>
      </c>
      <c r="Q7">
        <v>850</v>
      </c>
      <c r="R7">
        <f t="shared" si="1"/>
        <v>25</v>
      </c>
    </row>
    <row r="8" spans="1:18" x14ac:dyDescent="0.3">
      <c r="A8" s="39" t="s">
        <v>2</v>
      </c>
      <c r="B8">
        <v>200</v>
      </c>
      <c r="I8">
        <v>300</v>
      </c>
      <c r="J8">
        <v>150</v>
      </c>
      <c r="L8">
        <v>20</v>
      </c>
      <c r="M8" s="37">
        <f t="shared" si="2"/>
        <v>650</v>
      </c>
      <c r="N8">
        <v>574.99999999999989</v>
      </c>
      <c r="O8" s="46">
        <f t="shared" si="0"/>
        <v>-75.000000000000114</v>
      </c>
      <c r="P8" s="39" t="s">
        <v>2</v>
      </c>
      <c r="Q8">
        <v>-60</v>
      </c>
      <c r="R8">
        <f t="shared" si="1"/>
        <v>-15.000000000000114</v>
      </c>
    </row>
    <row r="9" spans="1:18" x14ac:dyDescent="0.3">
      <c r="A9" s="39" t="s">
        <v>179</v>
      </c>
      <c r="B9" s="43">
        <v>400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37">
        <f t="shared" si="2"/>
        <v>400</v>
      </c>
      <c r="N9">
        <v>574.99999999999989</v>
      </c>
      <c r="O9" s="46">
        <f t="shared" si="0"/>
        <v>174.99999999999989</v>
      </c>
      <c r="P9" s="39" t="s">
        <v>179</v>
      </c>
      <c r="Q9">
        <v>200</v>
      </c>
      <c r="R9">
        <f t="shared" si="1"/>
        <v>-25.000000000000114</v>
      </c>
    </row>
    <row r="10" spans="1:18" x14ac:dyDescent="0.3">
      <c r="A10" s="39" t="s">
        <v>180</v>
      </c>
      <c r="E10">
        <v>50</v>
      </c>
      <c r="F10">
        <v>200</v>
      </c>
      <c r="M10" s="37">
        <f t="shared" si="2"/>
        <v>250</v>
      </c>
      <c r="N10">
        <v>624.99999999999989</v>
      </c>
      <c r="O10" s="46">
        <f t="shared" si="0"/>
        <v>374.99999999999989</v>
      </c>
      <c r="P10" s="39" t="s">
        <v>180</v>
      </c>
      <c r="Q10">
        <v>375</v>
      </c>
      <c r="R10">
        <f t="shared" si="1"/>
        <v>0</v>
      </c>
    </row>
    <row r="11" spans="1:18" x14ac:dyDescent="0.3">
      <c r="A11" s="39" t="s">
        <v>1</v>
      </c>
      <c r="B11" s="43"/>
      <c r="C11" s="43"/>
      <c r="D11" s="43"/>
      <c r="E11" s="43"/>
      <c r="F11" s="43"/>
      <c r="G11" s="43"/>
      <c r="H11" s="43"/>
      <c r="I11" s="43">
        <v>300</v>
      </c>
      <c r="J11" s="43"/>
      <c r="K11" s="43"/>
      <c r="L11" s="43"/>
      <c r="M11" s="37">
        <f t="shared" si="2"/>
        <v>300</v>
      </c>
      <c r="N11">
        <v>524.99999999999989</v>
      </c>
      <c r="O11" s="46">
        <f t="shared" si="0"/>
        <v>224.99999999999989</v>
      </c>
      <c r="P11" s="39" t="s">
        <v>1</v>
      </c>
      <c r="Q11">
        <v>225</v>
      </c>
      <c r="R11">
        <f t="shared" si="1"/>
        <v>0</v>
      </c>
    </row>
    <row r="12" spans="1:18" x14ac:dyDescent="0.3">
      <c r="A12" s="39" t="s">
        <v>64</v>
      </c>
      <c r="M12" s="37">
        <f t="shared" si="2"/>
        <v>0</v>
      </c>
      <c r="N12">
        <v>524.99999999999989</v>
      </c>
      <c r="O12" s="46">
        <f t="shared" si="0"/>
        <v>524.99999999999989</v>
      </c>
      <c r="P12" s="39" t="s">
        <v>64</v>
      </c>
      <c r="Q12">
        <v>525</v>
      </c>
      <c r="R12">
        <f t="shared" si="1"/>
        <v>0</v>
      </c>
    </row>
    <row r="13" spans="1:18" x14ac:dyDescent="0.3">
      <c r="A13" s="39" t="s">
        <v>9</v>
      </c>
      <c r="B13" s="43">
        <v>300</v>
      </c>
      <c r="C13" s="43">
        <v>200</v>
      </c>
      <c r="D13" s="43">
        <v>500</v>
      </c>
      <c r="E13" s="43"/>
      <c r="F13" s="43"/>
      <c r="G13" s="43"/>
      <c r="H13" s="43"/>
      <c r="I13" s="43"/>
      <c r="J13" s="43"/>
      <c r="K13" s="43">
        <v>800</v>
      </c>
      <c r="L13" s="43"/>
      <c r="M13" s="37">
        <f t="shared" si="2"/>
        <v>1800</v>
      </c>
      <c r="N13">
        <v>775</v>
      </c>
      <c r="O13" s="46">
        <f t="shared" si="0"/>
        <v>-1025</v>
      </c>
      <c r="P13" s="39" t="s">
        <v>9</v>
      </c>
      <c r="Q13">
        <v>0</v>
      </c>
      <c r="R13">
        <f t="shared" si="1"/>
        <v>-1025</v>
      </c>
    </row>
    <row r="14" spans="1:18" x14ac:dyDescent="0.3">
      <c r="A14" s="39" t="s">
        <v>181</v>
      </c>
      <c r="M14" s="37">
        <f t="shared" si="2"/>
        <v>0</v>
      </c>
      <c r="N14">
        <v>524.99999999999989</v>
      </c>
      <c r="O14" s="46">
        <f t="shared" si="0"/>
        <v>524.99999999999989</v>
      </c>
      <c r="P14" s="39" t="s">
        <v>181</v>
      </c>
      <c r="Q14">
        <v>500</v>
      </c>
      <c r="R14">
        <f t="shared" si="1"/>
        <v>24.999999999999886</v>
      </c>
    </row>
    <row r="15" spans="1:18" x14ac:dyDescent="0.3">
      <c r="A15" s="42" t="s">
        <v>193</v>
      </c>
      <c r="B15" s="43">
        <v>100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7">
        <v>100</v>
      </c>
      <c r="O15" s="13"/>
    </row>
    <row r="16" spans="1:18" x14ac:dyDescent="0.3">
      <c r="A16" s="40" t="s">
        <v>192</v>
      </c>
      <c r="B16" s="2">
        <f>SUM(B2:B15)</f>
        <v>1400</v>
      </c>
      <c r="C16" s="2">
        <f t="shared" ref="C16:K16" si="3">SUM(C2:C15)</f>
        <v>3200</v>
      </c>
      <c r="D16" s="2">
        <f t="shared" si="3"/>
        <v>500</v>
      </c>
      <c r="E16" s="2">
        <f t="shared" si="3"/>
        <v>50</v>
      </c>
      <c r="F16" s="2">
        <f t="shared" si="3"/>
        <v>200</v>
      </c>
      <c r="G16" s="2">
        <f t="shared" si="3"/>
        <v>100</v>
      </c>
      <c r="H16" s="2">
        <f t="shared" si="3"/>
        <v>750</v>
      </c>
      <c r="I16" s="2">
        <f t="shared" si="3"/>
        <v>1050</v>
      </c>
      <c r="J16" s="2">
        <f t="shared" si="3"/>
        <v>150</v>
      </c>
      <c r="K16" s="2">
        <f t="shared" si="3"/>
        <v>800</v>
      </c>
      <c r="L16" s="2"/>
      <c r="M16" s="40">
        <f>SUM(M2:M14)</f>
        <v>8080</v>
      </c>
      <c r="O16" s="13"/>
      <c r="Q16">
        <f>SUM(Q2:Q15)</f>
        <v>130</v>
      </c>
    </row>
    <row r="17" spans="1:13" x14ac:dyDescent="0.3">
      <c r="A17" s="35" t="s">
        <v>185</v>
      </c>
      <c r="B17" s="43">
        <f>SUM(B2:B15)/B18</f>
        <v>14</v>
      </c>
      <c r="C17" s="43">
        <f t="shared" ref="C17:K17" si="4">SUM(C2:C14)/C18</f>
        <v>16</v>
      </c>
      <c r="D17" s="43">
        <f t="shared" si="4"/>
        <v>1</v>
      </c>
      <c r="E17" s="43">
        <f t="shared" si="4"/>
        <v>1</v>
      </c>
      <c r="F17" s="43">
        <f t="shared" si="4"/>
        <v>2</v>
      </c>
      <c r="G17" s="43">
        <f t="shared" si="4"/>
        <v>1</v>
      </c>
      <c r="H17" s="43">
        <f t="shared" si="4"/>
        <v>15</v>
      </c>
      <c r="I17" s="43">
        <f t="shared" si="4"/>
        <v>7</v>
      </c>
      <c r="J17" s="43">
        <f t="shared" si="4"/>
        <v>1</v>
      </c>
      <c r="K17" s="43">
        <f t="shared" si="4"/>
        <v>2</v>
      </c>
      <c r="L17" s="43"/>
      <c r="M17" s="37"/>
    </row>
    <row r="18" spans="1:13" x14ac:dyDescent="0.3">
      <c r="A18" s="36" t="s">
        <v>191</v>
      </c>
      <c r="B18">
        <v>100</v>
      </c>
      <c r="C18">
        <v>200</v>
      </c>
      <c r="D18">
        <v>500</v>
      </c>
      <c r="E18">
        <v>50</v>
      </c>
      <c r="F18">
        <v>100</v>
      </c>
      <c r="G18">
        <v>100</v>
      </c>
      <c r="H18">
        <v>50</v>
      </c>
      <c r="I18">
        <v>150</v>
      </c>
      <c r="J18">
        <v>150</v>
      </c>
      <c r="K18">
        <v>400</v>
      </c>
      <c r="M18" s="37"/>
    </row>
    <row r="20" spans="1:13" x14ac:dyDescent="0.3">
      <c r="A20" s="10" t="s">
        <v>176</v>
      </c>
      <c r="B20" s="38" t="s">
        <v>182</v>
      </c>
      <c r="C20" s="38" t="s">
        <v>183</v>
      </c>
      <c r="D20" s="38" t="s">
        <v>184</v>
      </c>
      <c r="E20" s="41" t="s">
        <v>37</v>
      </c>
      <c r="F20" s="41" t="s">
        <v>22</v>
      </c>
      <c r="G20" s="38" t="s">
        <v>186</v>
      </c>
      <c r="H20" s="38" t="s">
        <v>187</v>
      </c>
      <c r="I20" s="38" t="s">
        <v>188</v>
      </c>
      <c r="J20" s="38" t="s">
        <v>189</v>
      </c>
      <c r="K20" s="38" t="s">
        <v>190</v>
      </c>
      <c r="L20" s="41" t="s">
        <v>194</v>
      </c>
      <c r="M20" s="37" t="s">
        <v>192</v>
      </c>
    </row>
    <row r="21" spans="1:13" x14ac:dyDescent="0.3">
      <c r="A21" s="39" t="s">
        <v>125</v>
      </c>
      <c r="M21" s="37">
        <f>SUM(B21:K21)</f>
        <v>0</v>
      </c>
    </row>
    <row r="22" spans="1:13" x14ac:dyDescent="0.3">
      <c r="A22" s="39" t="s">
        <v>6</v>
      </c>
      <c r="B22" s="43">
        <f>13/12</f>
        <v>1.0833333333333333</v>
      </c>
      <c r="C22" s="43">
        <f>16/12</f>
        <v>1.3333333333333333</v>
      </c>
      <c r="D22" s="43"/>
      <c r="E22" s="43"/>
      <c r="F22" s="43"/>
      <c r="G22" s="43">
        <f>1/12</f>
        <v>8.3333333333333329E-2</v>
      </c>
      <c r="H22" s="43">
        <f>15/12</f>
        <v>1.25</v>
      </c>
      <c r="I22" s="43">
        <f>1/12</f>
        <v>8.3333333333333329E-2</v>
      </c>
      <c r="J22" s="43"/>
      <c r="K22" s="43">
        <f>2/12</f>
        <v>0.16666666666666666</v>
      </c>
      <c r="L22" s="43"/>
      <c r="M22" s="37">
        <f t="shared" ref="M22:M34" si="5">SUM(B22:K22)</f>
        <v>4</v>
      </c>
    </row>
    <row r="23" spans="1:13" x14ac:dyDescent="0.3">
      <c r="A23" s="39" t="s">
        <v>7</v>
      </c>
      <c r="B23" s="43">
        <f t="shared" ref="B23:B33" si="6">13/12</f>
        <v>1.0833333333333333</v>
      </c>
      <c r="C23" s="43">
        <f t="shared" ref="C23:C33" si="7">16/12</f>
        <v>1.3333333333333333</v>
      </c>
      <c r="G23" s="43">
        <f t="shared" ref="G23:G33" si="8">1/12</f>
        <v>8.3333333333333329E-2</v>
      </c>
      <c r="H23" s="43">
        <f t="shared" ref="H23:H33" si="9">15/12</f>
        <v>1.25</v>
      </c>
      <c r="I23" s="43">
        <f t="shared" ref="I23:I33" si="10">1/12</f>
        <v>8.3333333333333329E-2</v>
      </c>
      <c r="J23">
        <f>1/3</f>
        <v>0.33333333333333331</v>
      </c>
      <c r="K23" s="43">
        <f t="shared" ref="K23:K33" si="11">2/12</f>
        <v>0.16666666666666666</v>
      </c>
      <c r="L23" s="43"/>
      <c r="M23" s="37">
        <f t="shared" si="5"/>
        <v>4.3333333333333339</v>
      </c>
    </row>
    <row r="24" spans="1:13" x14ac:dyDescent="0.3">
      <c r="A24" s="39" t="s">
        <v>177</v>
      </c>
      <c r="B24" s="43">
        <f t="shared" si="6"/>
        <v>1.0833333333333333</v>
      </c>
      <c r="C24" s="43">
        <f t="shared" si="7"/>
        <v>1.3333333333333333</v>
      </c>
      <c r="D24" s="43"/>
      <c r="E24" s="43"/>
      <c r="F24" s="43"/>
      <c r="G24" s="43">
        <f t="shared" si="8"/>
        <v>8.3333333333333329E-2</v>
      </c>
      <c r="H24" s="43">
        <f t="shared" si="9"/>
        <v>1.25</v>
      </c>
      <c r="I24" s="43">
        <f t="shared" si="10"/>
        <v>8.3333333333333329E-2</v>
      </c>
      <c r="J24">
        <f>1/3</f>
        <v>0.33333333333333331</v>
      </c>
      <c r="K24" s="43">
        <f t="shared" si="11"/>
        <v>0.16666666666666666</v>
      </c>
      <c r="L24" s="43"/>
      <c r="M24" s="37">
        <f t="shared" si="5"/>
        <v>4.3333333333333339</v>
      </c>
    </row>
    <row r="25" spans="1:13" x14ac:dyDescent="0.3">
      <c r="A25" s="39" t="s">
        <v>178</v>
      </c>
      <c r="B25" s="43">
        <f t="shared" si="6"/>
        <v>1.0833333333333333</v>
      </c>
      <c r="C25" s="43">
        <f t="shared" si="7"/>
        <v>1.3333333333333333</v>
      </c>
      <c r="G25" s="43">
        <f t="shared" si="8"/>
        <v>8.3333333333333329E-2</v>
      </c>
      <c r="H25" s="43">
        <f t="shared" si="9"/>
        <v>1.25</v>
      </c>
      <c r="I25" s="43">
        <f t="shared" si="10"/>
        <v>8.3333333333333329E-2</v>
      </c>
      <c r="K25" s="43">
        <f t="shared" si="11"/>
        <v>0.16666666666666666</v>
      </c>
      <c r="L25" s="43"/>
      <c r="M25" s="37">
        <f t="shared" si="5"/>
        <v>4</v>
      </c>
    </row>
    <row r="26" spans="1:13" x14ac:dyDescent="0.3">
      <c r="A26" s="39" t="s">
        <v>74</v>
      </c>
      <c r="B26" s="43">
        <f t="shared" si="6"/>
        <v>1.0833333333333333</v>
      </c>
      <c r="C26" s="43">
        <f t="shared" si="7"/>
        <v>1.3333333333333333</v>
      </c>
      <c r="D26" s="43">
        <v>0.5</v>
      </c>
      <c r="E26" s="43"/>
      <c r="F26" s="43">
        <v>1</v>
      </c>
      <c r="G26" s="43">
        <f t="shared" si="8"/>
        <v>8.3333333333333329E-2</v>
      </c>
      <c r="H26" s="43">
        <f t="shared" si="9"/>
        <v>1.25</v>
      </c>
      <c r="I26" s="43">
        <f t="shared" si="10"/>
        <v>8.3333333333333329E-2</v>
      </c>
      <c r="J26" s="43"/>
      <c r="K26" s="43">
        <f t="shared" si="11"/>
        <v>0.16666666666666666</v>
      </c>
      <c r="L26" s="43"/>
      <c r="M26" s="37">
        <f t="shared" si="5"/>
        <v>5.5</v>
      </c>
    </row>
    <row r="27" spans="1:13" x14ac:dyDescent="0.3">
      <c r="A27" s="39" t="s">
        <v>2</v>
      </c>
      <c r="B27" s="43">
        <f t="shared" si="6"/>
        <v>1.0833333333333333</v>
      </c>
      <c r="C27" s="43">
        <f t="shared" si="7"/>
        <v>1.3333333333333333</v>
      </c>
      <c r="G27" s="43">
        <f t="shared" si="8"/>
        <v>8.3333333333333329E-2</v>
      </c>
      <c r="H27" s="43">
        <f t="shared" si="9"/>
        <v>1.25</v>
      </c>
      <c r="I27" s="43">
        <f t="shared" si="10"/>
        <v>8.3333333333333329E-2</v>
      </c>
      <c r="J27">
        <f>1/3</f>
        <v>0.33333333333333331</v>
      </c>
      <c r="K27" s="43">
        <f t="shared" si="11"/>
        <v>0.16666666666666666</v>
      </c>
      <c r="L27" s="43"/>
      <c r="M27" s="37">
        <f t="shared" si="5"/>
        <v>4.3333333333333339</v>
      </c>
    </row>
    <row r="28" spans="1:13" x14ac:dyDescent="0.3">
      <c r="A28" s="39" t="s">
        <v>179</v>
      </c>
      <c r="B28" s="43">
        <f t="shared" si="6"/>
        <v>1.0833333333333333</v>
      </c>
      <c r="C28" s="43">
        <f t="shared" si="7"/>
        <v>1.3333333333333333</v>
      </c>
      <c r="D28" s="43"/>
      <c r="E28" s="43">
        <v>1</v>
      </c>
      <c r="F28" s="43"/>
      <c r="G28" s="43">
        <f t="shared" si="8"/>
        <v>8.3333333333333329E-2</v>
      </c>
      <c r="H28" s="43">
        <f t="shared" si="9"/>
        <v>1.25</v>
      </c>
      <c r="I28" s="43">
        <f t="shared" si="10"/>
        <v>8.3333333333333329E-2</v>
      </c>
      <c r="J28" s="43"/>
      <c r="K28" s="43">
        <f t="shared" si="11"/>
        <v>0.16666666666666666</v>
      </c>
      <c r="L28" s="43"/>
      <c r="M28" s="37">
        <f t="shared" si="5"/>
        <v>5</v>
      </c>
    </row>
    <row r="29" spans="1:13" x14ac:dyDescent="0.3">
      <c r="A29" s="39" t="s">
        <v>180</v>
      </c>
      <c r="B29" s="43">
        <f t="shared" si="6"/>
        <v>1.0833333333333333</v>
      </c>
      <c r="C29" s="43">
        <f t="shared" si="7"/>
        <v>1.3333333333333333</v>
      </c>
      <c r="F29">
        <v>1</v>
      </c>
      <c r="G29" s="43">
        <f t="shared" si="8"/>
        <v>8.3333333333333329E-2</v>
      </c>
      <c r="H29" s="43">
        <f t="shared" si="9"/>
        <v>1.25</v>
      </c>
      <c r="I29" s="43">
        <f t="shared" si="10"/>
        <v>8.3333333333333329E-2</v>
      </c>
      <c r="K29" s="43">
        <f t="shared" si="11"/>
        <v>0.16666666666666666</v>
      </c>
      <c r="L29" s="43"/>
      <c r="M29" s="37">
        <f t="shared" si="5"/>
        <v>5</v>
      </c>
    </row>
    <row r="30" spans="1:13" x14ac:dyDescent="0.3">
      <c r="A30" s="39" t="s">
        <v>1</v>
      </c>
      <c r="B30" s="43">
        <f t="shared" si="6"/>
        <v>1.0833333333333333</v>
      </c>
      <c r="C30" s="43">
        <f t="shared" si="7"/>
        <v>1.3333333333333333</v>
      </c>
      <c r="D30" s="43"/>
      <c r="E30" s="43"/>
      <c r="F30" s="43"/>
      <c r="G30" s="43">
        <f t="shared" si="8"/>
        <v>8.3333333333333329E-2</v>
      </c>
      <c r="H30" s="43">
        <f t="shared" si="9"/>
        <v>1.25</v>
      </c>
      <c r="I30" s="43">
        <f t="shared" si="10"/>
        <v>8.3333333333333329E-2</v>
      </c>
      <c r="J30" s="43"/>
      <c r="K30" s="43">
        <f t="shared" si="11"/>
        <v>0.16666666666666666</v>
      </c>
      <c r="L30" s="43"/>
      <c r="M30" s="37">
        <f t="shared" si="5"/>
        <v>4</v>
      </c>
    </row>
    <row r="31" spans="1:13" x14ac:dyDescent="0.3">
      <c r="A31" s="39" t="s">
        <v>64</v>
      </c>
      <c r="B31" s="43">
        <f t="shared" si="6"/>
        <v>1.0833333333333333</v>
      </c>
      <c r="C31" s="43">
        <f t="shared" si="7"/>
        <v>1.3333333333333333</v>
      </c>
      <c r="G31" s="43">
        <f t="shared" si="8"/>
        <v>8.3333333333333329E-2</v>
      </c>
      <c r="H31" s="43">
        <f t="shared" si="9"/>
        <v>1.25</v>
      </c>
      <c r="I31" s="43">
        <f t="shared" si="10"/>
        <v>8.3333333333333329E-2</v>
      </c>
      <c r="K31" s="43">
        <f t="shared" si="11"/>
        <v>0.16666666666666666</v>
      </c>
      <c r="L31" s="43"/>
      <c r="M31" s="37">
        <f t="shared" si="5"/>
        <v>4</v>
      </c>
    </row>
    <row r="32" spans="1:13" x14ac:dyDescent="0.3">
      <c r="A32" s="39" t="s">
        <v>9</v>
      </c>
      <c r="B32" s="43">
        <f t="shared" si="6"/>
        <v>1.0833333333333333</v>
      </c>
      <c r="C32" s="43">
        <f t="shared" si="7"/>
        <v>1.3333333333333333</v>
      </c>
      <c r="D32" s="43">
        <v>0.5</v>
      </c>
      <c r="E32" s="43"/>
      <c r="F32" s="43"/>
      <c r="G32" s="43">
        <f t="shared" si="8"/>
        <v>8.3333333333333329E-2</v>
      </c>
      <c r="H32" s="43">
        <f t="shared" si="9"/>
        <v>1.25</v>
      </c>
      <c r="I32" s="43">
        <f t="shared" si="10"/>
        <v>8.3333333333333329E-2</v>
      </c>
      <c r="J32" s="43"/>
      <c r="K32" s="43">
        <f t="shared" si="11"/>
        <v>0.16666666666666666</v>
      </c>
      <c r="L32" s="43"/>
      <c r="M32" s="37">
        <f t="shared" si="5"/>
        <v>4.5</v>
      </c>
    </row>
    <row r="33" spans="1:13" x14ac:dyDescent="0.3">
      <c r="A33" s="39" t="s">
        <v>181</v>
      </c>
      <c r="B33" s="43">
        <f t="shared" si="6"/>
        <v>1.0833333333333333</v>
      </c>
      <c r="C33" s="43">
        <f t="shared" si="7"/>
        <v>1.3333333333333333</v>
      </c>
      <c r="G33" s="43">
        <f t="shared" si="8"/>
        <v>8.3333333333333329E-2</v>
      </c>
      <c r="H33" s="43">
        <f t="shared" si="9"/>
        <v>1.25</v>
      </c>
      <c r="I33" s="43">
        <f t="shared" si="10"/>
        <v>8.3333333333333329E-2</v>
      </c>
      <c r="K33" s="43">
        <f t="shared" si="11"/>
        <v>0.16666666666666666</v>
      </c>
      <c r="L33" s="43"/>
      <c r="M33" s="37">
        <f t="shared" si="5"/>
        <v>4</v>
      </c>
    </row>
    <row r="34" spans="1:13" x14ac:dyDescent="0.3">
      <c r="A34" s="42" t="s">
        <v>193</v>
      </c>
      <c r="B34" s="43">
        <v>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37">
        <f t="shared" si="5"/>
        <v>1</v>
      </c>
    </row>
    <row r="35" spans="1:13" x14ac:dyDescent="0.3">
      <c r="A35" s="40" t="s">
        <v>192</v>
      </c>
      <c r="B35" s="2">
        <f>SUM(B21:B34)</f>
        <v>14.000000000000002</v>
      </c>
      <c r="C35" s="2">
        <v>16</v>
      </c>
      <c r="D35" s="2">
        <f t="shared" ref="D35" si="12">SUM(D21:D34)</f>
        <v>1</v>
      </c>
      <c r="E35" s="2">
        <f t="shared" ref="E35" si="13">SUM(E21:E34)</f>
        <v>1</v>
      </c>
      <c r="F35" s="2">
        <f t="shared" ref="F35" si="14">SUM(F21:F34)</f>
        <v>2</v>
      </c>
      <c r="G35" s="2">
        <f t="shared" ref="G35" si="15">SUM(G21:G34)</f>
        <v>1</v>
      </c>
      <c r="H35" s="2">
        <v>15</v>
      </c>
      <c r="I35" s="2">
        <v>7</v>
      </c>
      <c r="J35" s="2">
        <f t="shared" ref="J35" si="16">SUM(J21:J34)</f>
        <v>1</v>
      </c>
      <c r="K35" s="2">
        <f t="shared" ref="K35" si="17">SUM(K21:K34)</f>
        <v>2</v>
      </c>
      <c r="L35" s="2"/>
      <c r="M35" s="40">
        <f>SUM(M21:M33)</f>
        <v>53</v>
      </c>
    </row>
    <row r="36" spans="1:13" x14ac:dyDescent="0.3">
      <c r="A36" s="36" t="s">
        <v>191</v>
      </c>
      <c r="B36">
        <v>100</v>
      </c>
      <c r="C36">
        <v>200</v>
      </c>
      <c r="D36">
        <v>500</v>
      </c>
      <c r="E36">
        <v>50</v>
      </c>
      <c r="F36">
        <v>100</v>
      </c>
      <c r="G36">
        <v>100</v>
      </c>
      <c r="H36">
        <v>50</v>
      </c>
      <c r="I36">
        <v>150</v>
      </c>
      <c r="J36">
        <v>150</v>
      </c>
      <c r="K36">
        <v>400</v>
      </c>
      <c r="M36" s="37"/>
    </row>
    <row r="38" spans="1:13" x14ac:dyDescent="0.3">
      <c r="A38" s="10" t="s">
        <v>176</v>
      </c>
      <c r="B38" s="38" t="s">
        <v>182</v>
      </c>
      <c r="C38" s="38" t="s">
        <v>183</v>
      </c>
      <c r="D38" s="38" t="s">
        <v>184</v>
      </c>
      <c r="E38" s="41" t="s">
        <v>37</v>
      </c>
      <c r="F38" s="41" t="s">
        <v>22</v>
      </c>
      <c r="G38" s="38" t="s">
        <v>186</v>
      </c>
      <c r="H38" s="38" t="s">
        <v>187</v>
      </c>
      <c r="I38" s="38" t="s">
        <v>188</v>
      </c>
      <c r="J38" s="38" t="s">
        <v>189</v>
      </c>
      <c r="K38" s="38" t="s">
        <v>190</v>
      </c>
      <c r="L38" s="41" t="s">
        <v>194</v>
      </c>
      <c r="M38" s="37" t="s">
        <v>192</v>
      </c>
    </row>
    <row r="39" spans="1:13" x14ac:dyDescent="0.3">
      <c r="A39" s="39" t="s">
        <v>125</v>
      </c>
      <c r="M39" s="37">
        <f>SUM(B39:K39)</f>
        <v>0</v>
      </c>
    </row>
    <row r="40" spans="1:13" x14ac:dyDescent="0.3">
      <c r="A40" s="39" t="s">
        <v>6</v>
      </c>
      <c r="B40" s="43">
        <f>B$36*B22</f>
        <v>108.33333333333333</v>
      </c>
      <c r="C40" s="43">
        <f t="shared" ref="C40:K40" si="18">C$36*C22</f>
        <v>266.66666666666663</v>
      </c>
      <c r="D40" s="43">
        <f t="shared" si="18"/>
        <v>0</v>
      </c>
      <c r="E40" s="43">
        <f t="shared" si="18"/>
        <v>0</v>
      </c>
      <c r="F40" s="43">
        <f t="shared" si="18"/>
        <v>0</v>
      </c>
      <c r="G40" s="43">
        <f t="shared" si="18"/>
        <v>8.3333333333333321</v>
      </c>
      <c r="H40" s="43">
        <f t="shared" si="18"/>
        <v>62.5</v>
      </c>
      <c r="I40" s="43">
        <f t="shared" si="18"/>
        <v>12.5</v>
      </c>
      <c r="J40" s="43">
        <f t="shared" si="18"/>
        <v>0</v>
      </c>
      <c r="K40" s="43">
        <f t="shared" si="18"/>
        <v>66.666666666666657</v>
      </c>
      <c r="L40" s="43"/>
      <c r="M40" s="37">
        <f t="shared" ref="M40:M52" si="19">SUM(B40:K40)</f>
        <v>524.99999999999989</v>
      </c>
    </row>
    <row r="41" spans="1:13" x14ac:dyDescent="0.3">
      <c r="A41" s="39" t="s">
        <v>7</v>
      </c>
      <c r="B41" s="43">
        <f>B$36*B23</f>
        <v>108.33333333333333</v>
      </c>
      <c r="C41" s="43">
        <f t="shared" ref="C41:K41" si="20">C$36*C23</f>
        <v>266.66666666666663</v>
      </c>
      <c r="D41" s="43">
        <f t="shared" si="20"/>
        <v>0</v>
      </c>
      <c r="E41" s="43">
        <f t="shared" si="20"/>
        <v>0</v>
      </c>
      <c r="F41" s="43">
        <f t="shared" si="20"/>
        <v>0</v>
      </c>
      <c r="G41" s="43">
        <f t="shared" si="20"/>
        <v>8.3333333333333321</v>
      </c>
      <c r="H41" s="43">
        <f t="shared" si="20"/>
        <v>62.5</v>
      </c>
      <c r="I41" s="43">
        <f t="shared" si="20"/>
        <v>12.5</v>
      </c>
      <c r="J41" s="43">
        <f t="shared" si="20"/>
        <v>50</v>
      </c>
      <c r="K41" s="43">
        <f t="shared" si="20"/>
        <v>66.666666666666657</v>
      </c>
      <c r="L41" s="43"/>
      <c r="M41" s="37">
        <f t="shared" si="19"/>
        <v>574.99999999999989</v>
      </c>
    </row>
    <row r="42" spans="1:13" x14ac:dyDescent="0.3">
      <c r="A42" s="39" t="s">
        <v>177</v>
      </c>
      <c r="B42" s="43">
        <f t="shared" ref="B42:K51" si="21">B$36*B24</f>
        <v>108.33333333333333</v>
      </c>
      <c r="C42" s="43">
        <f t="shared" si="21"/>
        <v>266.66666666666663</v>
      </c>
      <c r="D42" s="43">
        <f t="shared" si="21"/>
        <v>0</v>
      </c>
      <c r="E42" s="43">
        <f t="shared" si="21"/>
        <v>0</v>
      </c>
      <c r="F42" s="43">
        <f t="shared" si="21"/>
        <v>0</v>
      </c>
      <c r="G42" s="43">
        <f t="shared" si="21"/>
        <v>8.3333333333333321</v>
      </c>
      <c r="H42" s="43">
        <f t="shared" si="21"/>
        <v>62.5</v>
      </c>
      <c r="I42" s="43">
        <f t="shared" si="21"/>
        <v>12.5</v>
      </c>
      <c r="J42" s="43">
        <f t="shared" si="21"/>
        <v>50</v>
      </c>
      <c r="K42" s="43">
        <f t="shared" si="21"/>
        <v>66.666666666666657</v>
      </c>
      <c r="L42" s="43"/>
      <c r="M42" s="37">
        <f t="shared" si="19"/>
        <v>574.99999999999989</v>
      </c>
    </row>
    <row r="43" spans="1:13" x14ac:dyDescent="0.3">
      <c r="A43" s="39" t="s">
        <v>178</v>
      </c>
      <c r="B43" s="43">
        <f t="shared" si="21"/>
        <v>108.33333333333333</v>
      </c>
      <c r="C43" s="43">
        <f t="shared" si="21"/>
        <v>266.66666666666663</v>
      </c>
      <c r="D43" s="43">
        <f t="shared" si="21"/>
        <v>0</v>
      </c>
      <c r="E43" s="43">
        <f t="shared" si="21"/>
        <v>0</v>
      </c>
      <c r="F43" s="43">
        <f t="shared" si="21"/>
        <v>0</v>
      </c>
      <c r="G43" s="43">
        <f t="shared" si="21"/>
        <v>8.3333333333333321</v>
      </c>
      <c r="H43" s="43">
        <f t="shared" si="21"/>
        <v>62.5</v>
      </c>
      <c r="I43" s="43">
        <f t="shared" si="21"/>
        <v>12.5</v>
      </c>
      <c r="J43" s="43">
        <f t="shared" si="21"/>
        <v>0</v>
      </c>
      <c r="K43" s="43">
        <f t="shared" si="21"/>
        <v>66.666666666666657</v>
      </c>
      <c r="L43" s="43"/>
      <c r="M43" s="37">
        <f t="shared" si="19"/>
        <v>524.99999999999989</v>
      </c>
    </row>
    <row r="44" spans="1:13" x14ac:dyDescent="0.3">
      <c r="A44" s="39" t="s">
        <v>74</v>
      </c>
      <c r="B44" s="43">
        <f t="shared" si="21"/>
        <v>108.33333333333333</v>
      </c>
      <c r="C44" s="43">
        <f t="shared" si="21"/>
        <v>266.66666666666663</v>
      </c>
      <c r="D44" s="43">
        <f t="shared" si="21"/>
        <v>250</v>
      </c>
      <c r="E44" s="43">
        <f t="shared" si="21"/>
        <v>0</v>
      </c>
      <c r="F44" s="43">
        <f t="shared" si="21"/>
        <v>100</v>
      </c>
      <c r="G44" s="43">
        <f t="shared" si="21"/>
        <v>8.3333333333333321</v>
      </c>
      <c r="H44" s="43">
        <f t="shared" si="21"/>
        <v>62.5</v>
      </c>
      <c r="I44" s="43">
        <f t="shared" si="21"/>
        <v>12.5</v>
      </c>
      <c r="J44" s="43">
        <f t="shared" si="21"/>
        <v>0</v>
      </c>
      <c r="K44" s="43">
        <f t="shared" si="21"/>
        <v>66.666666666666657</v>
      </c>
      <c r="L44" s="43"/>
      <c r="M44" s="37">
        <f t="shared" si="19"/>
        <v>875</v>
      </c>
    </row>
    <row r="45" spans="1:13" x14ac:dyDescent="0.3">
      <c r="A45" s="39" t="s">
        <v>2</v>
      </c>
      <c r="B45" s="43">
        <f t="shared" si="21"/>
        <v>108.33333333333333</v>
      </c>
      <c r="C45" s="43">
        <f t="shared" si="21"/>
        <v>266.66666666666663</v>
      </c>
      <c r="D45" s="43">
        <f t="shared" si="21"/>
        <v>0</v>
      </c>
      <c r="E45" s="43">
        <f t="shared" si="21"/>
        <v>0</v>
      </c>
      <c r="F45" s="43">
        <f t="shared" si="21"/>
        <v>0</v>
      </c>
      <c r="G45" s="43">
        <f t="shared" si="21"/>
        <v>8.3333333333333321</v>
      </c>
      <c r="H45" s="43">
        <f t="shared" si="21"/>
        <v>62.5</v>
      </c>
      <c r="I45" s="43">
        <f t="shared" si="21"/>
        <v>12.5</v>
      </c>
      <c r="J45" s="43">
        <f t="shared" si="21"/>
        <v>50</v>
      </c>
      <c r="K45" s="43">
        <f t="shared" si="21"/>
        <v>66.666666666666657</v>
      </c>
      <c r="L45" s="43"/>
      <c r="M45" s="37">
        <f t="shared" si="19"/>
        <v>574.99999999999989</v>
      </c>
    </row>
    <row r="46" spans="1:13" x14ac:dyDescent="0.3">
      <c r="A46" s="39" t="s">
        <v>179</v>
      </c>
      <c r="B46" s="43">
        <f t="shared" si="21"/>
        <v>108.33333333333333</v>
      </c>
      <c r="C46" s="43">
        <f t="shared" si="21"/>
        <v>266.66666666666663</v>
      </c>
      <c r="D46" s="43">
        <f t="shared" si="21"/>
        <v>0</v>
      </c>
      <c r="E46" s="43">
        <f t="shared" si="21"/>
        <v>50</v>
      </c>
      <c r="F46" s="43">
        <f t="shared" si="21"/>
        <v>0</v>
      </c>
      <c r="G46" s="43">
        <f t="shared" si="21"/>
        <v>8.3333333333333321</v>
      </c>
      <c r="H46" s="43">
        <f t="shared" si="21"/>
        <v>62.5</v>
      </c>
      <c r="I46" s="43">
        <f t="shared" si="21"/>
        <v>12.5</v>
      </c>
      <c r="J46" s="43">
        <f t="shared" si="21"/>
        <v>0</v>
      </c>
      <c r="K46" s="43">
        <f t="shared" si="21"/>
        <v>66.666666666666657</v>
      </c>
      <c r="L46" s="43"/>
      <c r="M46" s="37">
        <f t="shared" si="19"/>
        <v>574.99999999999989</v>
      </c>
    </row>
    <row r="47" spans="1:13" x14ac:dyDescent="0.3">
      <c r="A47" s="39" t="s">
        <v>180</v>
      </c>
      <c r="B47" s="43">
        <f t="shared" si="21"/>
        <v>108.33333333333333</v>
      </c>
      <c r="C47" s="43">
        <f t="shared" si="21"/>
        <v>266.66666666666663</v>
      </c>
      <c r="D47" s="43">
        <f t="shared" si="21"/>
        <v>0</v>
      </c>
      <c r="E47" s="43">
        <f t="shared" si="21"/>
        <v>0</v>
      </c>
      <c r="F47" s="43">
        <f t="shared" si="21"/>
        <v>100</v>
      </c>
      <c r="G47" s="43">
        <f t="shared" si="21"/>
        <v>8.3333333333333321</v>
      </c>
      <c r="H47" s="43">
        <f t="shared" si="21"/>
        <v>62.5</v>
      </c>
      <c r="I47" s="43">
        <f t="shared" si="21"/>
        <v>12.5</v>
      </c>
      <c r="J47" s="43">
        <f t="shared" si="21"/>
        <v>0</v>
      </c>
      <c r="K47" s="43">
        <f t="shared" si="21"/>
        <v>66.666666666666657</v>
      </c>
      <c r="L47" s="43"/>
      <c r="M47" s="37">
        <f t="shared" si="19"/>
        <v>624.99999999999989</v>
      </c>
    </row>
    <row r="48" spans="1:13" x14ac:dyDescent="0.3">
      <c r="A48" s="39" t="s">
        <v>1</v>
      </c>
      <c r="B48" s="43">
        <f t="shared" si="21"/>
        <v>108.33333333333333</v>
      </c>
      <c r="C48" s="43">
        <f t="shared" si="21"/>
        <v>266.66666666666663</v>
      </c>
      <c r="D48" s="43">
        <f t="shared" si="21"/>
        <v>0</v>
      </c>
      <c r="E48" s="43">
        <f t="shared" si="21"/>
        <v>0</v>
      </c>
      <c r="F48" s="43">
        <f t="shared" si="21"/>
        <v>0</v>
      </c>
      <c r="G48" s="43">
        <f t="shared" si="21"/>
        <v>8.3333333333333321</v>
      </c>
      <c r="H48" s="43">
        <f t="shared" si="21"/>
        <v>62.5</v>
      </c>
      <c r="I48" s="43">
        <f t="shared" si="21"/>
        <v>12.5</v>
      </c>
      <c r="J48" s="43">
        <f t="shared" si="21"/>
        <v>0</v>
      </c>
      <c r="K48" s="43">
        <f t="shared" si="21"/>
        <v>66.666666666666657</v>
      </c>
      <c r="L48" s="43"/>
      <c r="M48" s="37">
        <f t="shared" si="19"/>
        <v>524.99999999999989</v>
      </c>
    </row>
    <row r="49" spans="1:13" x14ac:dyDescent="0.3">
      <c r="A49" s="39" t="s">
        <v>64</v>
      </c>
      <c r="B49" s="43">
        <f t="shared" si="21"/>
        <v>108.33333333333333</v>
      </c>
      <c r="C49" s="43">
        <f t="shared" si="21"/>
        <v>266.66666666666663</v>
      </c>
      <c r="D49" s="43">
        <f t="shared" si="21"/>
        <v>0</v>
      </c>
      <c r="E49" s="43">
        <f t="shared" si="21"/>
        <v>0</v>
      </c>
      <c r="F49" s="43">
        <f t="shared" si="21"/>
        <v>0</v>
      </c>
      <c r="G49" s="43">
        <f t="shared" si="21"/>
        <v>8.3333333333333321</v>
      </c>
      <c r="H49" s="43">
        <f t="shared" si="21"/>
        <v>62.5</v>
      </c>
      <c r="I49" s="43">
        <f t="shared" si="21"/>
        <v>12.5</v>
      </c>
      <c r="J49" s="43">
        <f t="shared" si="21"/>
        <v>0</v>
      </c>
      <c r="K49" s="43">
        <f t="shared" si="21"/>
        <v>66.666666666666657</v>
      </c>
      <c r="L49" s="43"/>
      <c r="M49" s="37">
        <f t="shared" si="19"/>
        <v>524.99999999999989</v>
      </c>
    </row>
    <row r="50" spans="1:13" x14ac:dyDescent="0.3">
      <c r="A50" s="39" t="s">
        <v>9</v>
      </c>
      <c r="B50" s="43">
        <f t="shared" si="21"/>
        <v>108.33333333333333</v>
      </c>
      <c r="C50" s="43">
        <f t="shared" si="21"/>
        <v>266.66666666666663</v>
      </c>
      <c r="D50" s="43">
        <f t="shared" si="21"/>
        <v>250</v>
      </c>
      <c r="E50" s="43">
        <f t="shared" si="21"/>
        <v>0</v>
      </c>
      <c r="F50" s="43">
        <f t="shared" si="21"/>
        <v>0</v>
      </c>
      <c r="G50" s="43">
        <f t="shared" si="21"/>
        <v>8.3333333333333321</v>
      </c>
      <c r="H50" s="43">
        <f t="shared" si="21"/>
        <v>62.5</v>
      </c>
      <c r="I50" s="43">
        <f t="shared" si="21"/>
        <v>12.5</v>
      </c>
      <c r="J50" s="43">
        <f t="shared" si="21"/>
        <v>0</v>
      </c>
      <c r="K50" s="43">
        <f t="shared" si="21"/>
        <v>66.666666666666657</v>
      </c>
      <c r="L50" s="43"/>
      <c r="M50" s="37">
        <f t="shared" si="19"/>
        <v>775</v>
      </c>
    </row>
    <row r="51" spans="1:13" x14ac:dyDescent="0.3">
      <c r="A51" s="39" t="s">
        <v>181</v>
      </c>
      <c r="B51" s="43">
        <f t="shared" si="21"/>
        <v>108.33333333333333</v>
      </c>
      <c r="C51" s="43">
        <f t="shared" si="21"/>
        <v>266.66666666666663</v>
      </c>
      <c r="D51" s="43">
        <f t="shared" si="21"/>
        <v>0</v>
      </c>
      <c r="E51" s="43">
        <f t="shared" si="21"/>
        <v>0</v>
      </c>
      <c r="F51" s="43">
        <f t="shared" si="21"/>
        <v>0</v>
      </c>
      <c r="G51" s="43">
        <f t="shared" si="21"/>
        <v>8.3333333333333321</v>
      </c>
      <c r="H51" s="43">
        <f t="shared" si="21"/>
        <v>62.5</v>
      </c>
      <c r="I51" s="43">
        <f t="shared" si="21"/>
        <v>12.5</v>
      </c>
      <c r="J51" s="43">
        <f t="shared" si="21"/>
        <v>0</v>
      </c>
      <c r="K51" s="43">
        <f t="shared" si="21"/>
        <v>66.666666666666657</v>
      </c>
      <c r="L51" s="43"/>
      <c r="M51" s="37">
        <f t="shared" si="19"/>
        <v>524.99999999999989</v>
      </c>
    </row>
    <row r="52" spans="1:13" x14ac:dyDescent="0.3">
      <c r="A52" s="42" t="s">
        <v>193</v>
      </c>
      <c r="B52" s="43">
        <f>B$36*B34</f>
        <v>100</v>
      </c>
      <c r="C52" s="43">
        <f t="shared" ref="C52:K52" si="22">C$36*C34</f>
        <v>0</v>
      </c>
      <c r="D52" s="43">
        <f t="shared" si="22"/>
        <v>0</v>
      </c>
      <c r="E52" s="43">
        <f t="shared" si="22"/>
        <v>0</v>
      </c>
      <c r="F52" s="43">
        <f t="shared" si="22"/>
        <v>0</v>
      </c>
      <c r="G52" s="43">
        <f t="shared" si="22"/>
        <v>0</v>
      </c>
      <c r="H52" s="43">
        <f t="shared" si="22"/>
        <v>0</v>
      </c>
      <c r="I52" s="43">
        <f t="shared" si="22"/>
        <v>0</v>
      </c>
      <c r="J52" s="43">
        <f t="shared" si="22"/>
        <v>0</v>
      </c>
      <c r="K52" s="43">
        <f t="shared" si="22"/>
        <v>0</v>
      </c>
      <c r="L52" s="43"/>
      <c r="M52" s="37">
        <f t="shared" si="19"/>
        <v>100</v>
      </c>
    </row>
    <row r="53" spans="1:13" x14ac:dyDescent="0.3">
      <c r="A53" s="40" t="s">
        <v>192</v>
      </c>
      <c r="B53" s="2">
        <f>SUM(B39:B52)</f>
        <v>1400</v>
      </c>
      <c r="C53" s="2">
        <v>16</v>
      </c>
      <c r="D53" s="2">
        <f t="shared" ref="D53" si="23">SUM(D39:D52)</f>
        <v>500</v>
      </c>
      <c r="E53" s="2">
        <f t="shared" ref="E53" si="24">SUM(E39:E52)</f>
        <v>50</v>
      </c>
      <c r="F53" s="2">
        <f t="shared" ref="F53" si="25">SUM(F39:F52)</f>
        <v>200</v>
      </c>
      <c r="G53" s="2">
        <f t="shared" ref="G53" si="26">SUM(G39:G52)</f>
        <v>99.999999999999957</v>
      </c>
      <c r="H53" s="2">
        <v>15</v>
      </c>
      <c r="I53" s="2">
        <v>7</v>
      </c>
      <c r="J53" s="2">
        <f t="shared" ref="J53" si="27">SUM(J39:J52)</f>
        <v>150</v>
      </c>
      <c r="K53" s="2">
        <f t="shared" ref="K53" si="28">SUM(K39:K52)</f>
        <v>799.99999999999966</v>
      </c>
      <c r="L53" s="2"/>
      <c r="M53" s="40">
        <f>SUM(M39:M51)</f>
        <v>7199.9999999999991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"/>
  <sheetViews>
    <sheetView topLeftCell="A5" workbookViewId="0">
      <selection activeCell="P24" sqref="P24"/>
    </sheetView>
  </sheetViews>
  <sheetFormatPr defaultRowHeight="14.4" x14ac:dyDescent="0.3"/>
  <cols>
    <col min="2" max="2" width="9.88671875" customWidth="1"/>
    <col min="3" max="3" width="6.33203125" customWidth="1"/>
    <col min="4" max="4" width="7.33203125" customWidth="1"/>
    <col min="5" max="5" width="7.88671875" customWidth="1"/>
    <col min="6" max="6" width="9.33203125" customWidth="1"/>
    <col min="7" max="7" width="7" customWidth="1"/>
    <col min="8" max="8" width="9.109375" customWidth="1"/>
    <col min="9" max="9" width="8.44140625" customWidth="1"/>
    <col min="10" max="10" width="9.109375" customWidth="1"/>
    <col min="11" max="11" width="8.33203125" customWidth="1"/>
    <col min="12" max="12" width="7.44140625" customWidth="1"/>
    <col min="13" max="13" width="8.5546875" customWidth="1"/>
    <col min="14" max="14" width="8.6640625" customWidth="1"/>
    <col min="15" max="15" width="10.88671875" customWidth="1"/>
    <col min="16" max="16" width="8.88671875" customWidth="1"/>
    <col min="17" max="17" width="10" bestFit="1" customWidth="1"/>
  </cols>
  <sheetData>
    <row r="1" spans="1:16" x14ac:dyDescent="0.3">
      <c r="C1" s="60" t="s">
        <v>22</v>
      </c>
      <c r="D1" s="60"/>
      <c r="E1" s="61" t="s">
        <v>23</v>
      </c>
      <c r="F1" s="61"/>
      <c r="G1" s="61"/>
      <c r="H1" s="61"/>
      <c r="I1" s="61"/>
      <c r="J1" s="61"/>
      <c r="K1" s="25"/>
    </row>
    <row r="2" spans="1:16" ht="61.5" customHeight="1" x14ac:dyDescent="0.3">
      <c r="B2" s="1" t="s">
        <v>25</v>
      </c>
      <c r="C2" s="1" t="s">
        <v>37</v>
      </c>
      <c r="D2" s="1" t="s">
        <v>199</v>
      </c>
      <c r="E2" s="1" t="s">
        <v>200</v>
      </c>
      <c r="F2" s="1" t="s">
        <v>201</v>
      </c>
      <c r="G2" s="1" t="s">
        <v>202</v>
      </c>
      <c r="H2" s="1" t="s">
        <v>203</v>
      </c>
      <c r="I2" s="1" t="s">
        <v>204</v>
      </c>
      <c r="J2" s="1" t="s">
        <v>205</v>
      </c>
      <c r="K2" s="3" t="s">
        <v>26</v>
      </c>
    </row>
    <row r="3" spans="1:16" x14ac:dyDescent="0.3">
      <c r="A3" s="62" t="s">
        <v>24</v>
      </c>
      <c r="B3" t="s">
        <v>1</v>
      </c>
      <c r="C3">
        <f>1/6</f>
        <v>0.16666666666666666</v>
      </c>
      <c r="D3">
        <v>1</v>
      </c>
      <c r="J3">
        <v>1</v>
      </c>
      <c r="K3" s="2">
        <f>SUM(Table1431[[#This Row],[Water]:[Aloo Paratha]])</f>
        <v>2.166666666666667</v>
      </c>
    </row>
    <row r="4" spans="1:16" x14ac:dyDescent="0.3">
      <c r="A4" s="62"/>
      <c r="B4" t="s">
        <v>4</v>
      </c>
      <c r="C4">
        <f t="shared" ref="C4:C8" si="0">1/6</f>
        <v>0.16666666666666666</v>
      </c>
      <c r="D4">
        <v>1</v>
      </c>
      <c r="E4">
        <f>1/4</f>
        <v>0.25</v>
      </c>
      <c r="F4">
        <f>8/5</f>
        <v>1.6</v>
      </c>
      <c r="G4">
        <f>2/4</f>
        <v>0.5</v>
      </c>
      <c r="K4" s="2">
        <f>SUM(Table1431[[#This Row],[Water]:[Aloo Paratha]])</f>
        <v>3.5166666666666666</v>
      </c>
    </row>
    <row r="5" spans="1:16" x14ac:dyDescent="0.3">
      <c r="A5" s="62"/>
      <c r="B5" t="s">
        <v>9</v>
      </c>
      <c r="C5">
        <f t="shared" si="0"/>
        <v>0.16666666666666666</v>
      </c>
      <c r="E5">
        <v>1</v>
      </c>
      <c r="F5">
        <f t="shared" ref="F5:F8" si="1">8/5</f>
        <v>1.6</v>
      </c>
      <c r="H5">
        <v>1</v>
      </c>
      <c r="K5" s="2">
        <f>SUM(Table1431[[#This Row],[Water]:[Aloo Paratha]])</f>
        <v>3.7666666666666666</v>
      </c>
    </row>
    <row r="6" spans="1:16" x14ac:dyDescent="0.3">
      <c r="A6" s="62"/>
      <c r="B6" t="s">
        <v>6</v>
      </c>
      <c r="C6">
        <f t="shared" si="0"/>
        <v>0.16666666666666666</v>
      </c>
      <c r="E6">
        <f>1/4</f>
        <v>0.25</v>
      </c>
      <c r="F6">
        <f t="shared" si="1"/>
        <v>1.6</v>
      </c>
      <c r="G6">
        <f>2/4</f>
        <v>0.5</v>
      </c>
      <c r="J6" s="4"/>
      <c r="K6" s="2">
        <f>SUM(Table1431[[#This Row],[Water]:[Aloo Paratha]])</f>
        <v>2.5166666666666666</v>
      </c>
    </row>
    <row r="7" spans="1:16" x14ac:dyDescent="0.3">
      <c r="A7" s="62"/>
      <c r="B7" t="s">
        <v>7</v>
      </c>
      <c r="C7">
        <f t="shared" si="0"/>
        <v>0.16666666666666666</v>
      </c>
      <c r="E7">
        <f t="shared" ref="E7:E8" si="2">1/4</f>
        <v>0.25</v>
      </c>
      <c r="F7">
        <f t="shared" si="1"/>
        <v>1.6</v>
      </c>
      <c r="G7">
        <f t="shared" ref="G7:G8" si="3">2/4</f>
        <v>0.5</v>
      </c>
      <c r="I7">
        <f>1/2</f>
        <v>0.5</v>
      </c>
      <c r="K7" s="2">
        <f>SUM(Table1431[[#This Row],[Water]:[Aloo Paratha]])</f>
        <v>3.0166666666666666</v>
      </c>
    </row>
    <row r="8" spans="1:16" x14ac:dyDescent="0.3">
      <c r="A8" s="62"/>
      <c r="B8" t="s">
        <v>126</v>
      </c>
      <c r="C8">
        <f t="shared" si="0"/>
        <v>0.16666666666666666</v>
      </c>
      <c r="E8">
        <f t="shared" si="2"/>
        <v>0.25</v>
      </c>
      <c r="F8">
        <f t="shared" si="1"/>
        <v>1.6</v>
      </c>
      <c r="G8">
        <f t="shared" si="3"/>
        <v>0.5</v>
      </c>
      <c r="I8">
        <f>1/2</f>
        <v>0.5</v>
      </c>
      <c r="K8" s="2">
        <f>SUM(Table1431[[#This Row],[Water]:[Aloo Paratha]])</f>
        <v>3.0166666666666666</v>
      </c>
    </row>
    <row r="9" spans="1:16" x14ac:dyDescent="0.3">
      <c r="B9" s="2" t="s">
        <v>26</v>
      </c>
      <c r="C9" s="2">
        <f t="shared" ref="C9:J9" si="4">SUM(C3:C8)</f>
        <v>0.99999999999999989</v>
      </c>
      <c r="D9" s="2">
        <f t="shared" si="4"/>
        <v>2</v>
      </c>
      <c r="E9" s="2">
        <f t="shared" si="4"/>
        <v>2</v>
      </c>
      <c r="F9" s="2">
        <f t="shared" si="4"/>
        <v>8</v>
      </c>
      <c r="G9" s="2">
        <f t="shared" si="4"/>
        <v>2</v>
      </c>
      <c r="H9" s="2">
        <f t="shared" si="4"/>
        <v>1</v>
      </c>
      <c r="I9" s="2">
        <f t="shared" si="4"/>
        <v>1</v>
      </c>
      <c r="J9" s="2">
        <f t="shared" si="4"/>
        <v>1</v>
      </c>
      <c r="K9" s="2">
        <f>SUM(Table1431[[#This Row],[Water]:[Aloo Paratha]])</f>
        <v>18</v>
      </c>
    </row>
    <row r="11" spans="1:16" x14ac:dyDescent="0.3">
      <c r="B11" s="10" t="s">
        <v>29</v>
      </c>
      <c r="C11" s="5">
        <v>0.15</v>
      </c>
    </row>
    <row r="12" spans="1:16" x14ac:dyDescent="0.3">
      <c r="B12" s="10" t="s">
        <v>30</v>
      </c>
      <c r="C12" s="11">
        <v>175</v>
      </c>
      <c r="D12" s="11">
        <v>230</v>
      </c>
      <c r="E12" s="11">
        <v>485</v>
      </c>
      <c r="F12" s="11">
        <v>95</v>
      </c>
      <c r="G12" s="11">
        <v>620</v>
      </c>
      <c r="H12" s="11">
        <v>630</v>
      </c>
      <c r="I12" s="11">
        <v>570</v>
      </c>
      <c r="J12" s="11">
        <v>215</v>
      </c>
      <c r="K12" s="11">
        <f>SUM(C12:J12)</f>
        <v>3020</v>
      </c>
      <c r="L12" s="11"/>
      <c r="M12" s="11"/>
      <c r="N12" s="11"/>
      <c r="O12" s="11"/>
      <c r="P12" s="11"/>
    </row>
    <row r="13" spans="1:16" x14ac:dyDescent="0.3">
      <c r="B13" s="10" t="s">
        <v>31</v>
      </c>
      <c r="C13">
        <f t="shared" ref="C13:J13" si="5">C12*$C$11</f>
        <v>26.25</v>
      </c>
      <c r="D13">
        <f t="shared" si="5"/>
        <v>34.5</v>
      </c>
      <c r="E13">
        <f t="shared" si="5"/>
        <v>72.75</v>
      </c>
      <c r="F13">
        <f t="shared" si="5"/>
        <v>14.25</v>
      </c>
      <c r="G13">
        <f t="shared" si="5"/>
        <v>93</v>
      </c>
      <c r="H13">
        <f t="shared" si="5"/>
        <v>94.5</v>
      </c>
      <c r="I13">
        <f t="shared" si="5"/>
        <v>85.5</v>
      </c>
      <c r="J13">
        <f t="shared" si="5"/>
        <v>32.25</v>
      </c>
      <c r="K13">
        <f t="shared" ref="K13:K14" si="6">SUM(C13:J13)</f>
        <v>453</v>
      </c>
    </row>
    <row r="14" spans="1:16" x14ac:dyDescent="0.3">
      <c r="B14" s="10" t="s">
        <v>32</v>
      </c>
      <c r="C14" s="12">
        <f>SUM(C12:C13)</f>
        <v>201.25</v>
      </c>
      <c r="D14" s="12">
        <f t="shared" ref="D14:J14" si="7">SUM(D12:D13)</f>
        <v>264.5</v>
      </c>
      <c r="E14" s="12">
        <f t="shared" si="7"/>
        <v>557.75</v>
      </c>
      <c r="F14" s="12">
        <f t="shared" si="7"/>
        <v>109.25</v>
      </c>
      <c r="G14" s="12">
        <f t="shared" si="7"/>
        <v>713</v>
      </c>
      <c r="H14" s="12">
        <f t="shared" si="7"/>
        <v>724.5</v>
      </c>
      <c r="I14" s="12">
        <f t="shared" si="7"/>
        <v>655.5</v>
      </c>
      <c r="J14" s="12">
        <f t="shared" si="7"/>
        <v>247.25</v>
      </c>
      <c r="K14" s="11">
        <f t="shared" si="6"/>
        <v>3473</v>
      </c>
      <c r="L14" s="12"/>
      <c r="M14" s="12"/>
      <c r="N14" s="12"/>
      <c r="O14" s="12"/>
      <c r="P14" s="12"/>
    </row>
    <row r="16" spans="1:16" x14ac:dyDescent="0.3">
      <c r="C16" s="60" t="s">
        <v>22</v>
      </c>
      <c r="D16" s="60"/>
      <c r="E16" s="61" t="s">
        <v>23</v>
      </c>
      <c r="F16" s="61"/>
      <c r="G16" s="61"/>
      <c r="H16" s="61"/>
      <c r="I16" s="61"/>
      <c r="J16" s="61"/>
      <c r="K16" s="25"/>
      <c r="L16" s="25"/>
      <c r="M16" s="25"/>
      <c r="N16" s="25"/>
      <c r="O16" s="25"/>
      <c r="P16" s="25"/>
    </row>
    <row r="17" spans="1:11" ht="28.8" x14ac:dyDescent="0.3">
      <c r="B17" s="1" t="s">
        <v>25</v>
      </c>
      <c r="C17" s="1" t="s">
        <v>37</v>
      </c>
      <c r="D17" s="1" t="s">
        <v>199</v>
      </c>
      <c r="E17" s="1" t="s">
        <v>200</v>
      </c>
      <c r="F17" s="1" t="s">
        <v>201</v>
      </c>
      <c r="G17" s="1" t="s">
        <v>202</v>
      </c>
      <c r="H17" s="1" t="s">
        <v>203</v>
      </c>
      <c r="I17" s="1" t="s">
        <v>204</v>
      </c>
      <c r="J17" s="1" t="s">
        <v>205</v>
      </c>
      <c r="K17" s="3" t="s">
        <v>26</v>
      </c>
    </row>
    <row r="18" spans="1:11" x14ac:dyDescent="0.3">
      <c r="A18" s="62" t="s">
        <v>24</v>
      </c>
      <c r="B18" t="s">
        <v>1</v>
      </c>
      <c r="C18">
        <f>C3*C14</f>
        <v>33.541666666666664</v>
      </c>
      <c r="D18">
        <f t="shared" ref="D18:J18" si="8">D3*D14</f>
        <v>264.5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247.25</v>
      </c>
      <c r="K18" s="27">
        <f ca="1">Table13532[[#This Row],[Total]]+1</f>
        <v>546.29166666666674</v>
      </c>
    </row>
    <row r="19" spans="1:11" x14ac:dyDescent="0.3">
      <c r="A19" s="62"/>
      <c r="B19" t="s">
        <v>4</v>
      </c>
      <c r="C19">
        <f>C4*C$14</f>
        <v>33.541666666666664</v>
      </c>
      <c r="D19">
        <f t="shared" ref="D19:J19" si="9">D4*D$14</f>
        <v>264.5</v>
      </c>
      <c r="E19">
        <f t="shared" si="9"/>
        <v>139.4375</v>
      </c>
      <c r="F19">
        <f t="shared" si="9"/>
        <v>174.8</v>
      </c>
      <c r="G19">
        <f t="shared" si="9"/>
        <v>356.5</v>
      </c>
      <c r="H19">
        <f t="shared" si="9"/>
        <v>0</v>
      </c>
      <c r="I19">
        <f t="shared" si="9"/>
        <v>0</v>
      </c>
      <c r="J19">
        <f t="shared" si="9"/>
        <v>0</v>
      </c>
      <c r="K19" s="27">
        <f ca="1">Table13532[[#This Row],[Total]]+1</f>
        <v>969.7791666666667</v>
      </c>
    </row>
    <row r="20" spans="1:11" x14ac:dyDescent="0.3">
      <c r="A20" s="62"/>
      <c r="B20" t="s">
        <v>9</v>
      </c>
      <c r="C20">
        <f t="shared" ref="C20:J20" si="10">C5*C$14</f>
        <v>33.541666666666664</v>
      </c>
      <c r="D20">
        <f t="shared" si="10"/>
        <v>0</v>
      </c>
      <c r="E20">
        <f t="shared" si="10"/>
        <v>557.75</v>
      </c>
      <c r="F20">
        <f t="shared" si="10"/>
        <v>174.8</v>
      </c>
      <c r="G20">
        <f t="shared" si="10"/>
        <v>0</v>
      </c>
      <c r="H20">
        <f t="shared" si="10"/>
        <v>724.5</v>
      </c>
      <c r="I20">
        <f t="shared" si="10"/>
        <v>0</v>
      </c>
      <c r="J20">
        <f t="shared" si="10"/>
        <v>0</v>
      </c>
      <c r="K20" s="27">
        <f ca="1">Table13532[[#This Row],[Total]]+1</f>
        <v>1491.5916666666667</v>
      </c>
    </row>
    <row r="21" spans="1:11" x14ac:dyDescent="0.3">
      <c r="A21" s="62"/>
      <c r="B21" t="s">
        <v>6</v>
      </c>
      <c r="C21">
        <f t="shared" ref="C21:J21" si="11">C6*C$14</f>
        <v>33.541666666666664</v>
      </c>
      <c r="D21">
        <f t="shared" si="11"/>
        <v>0</v>
      </c>
      <c r="E21">
        <f t="shared" si="11"/>
        <v>139.4375</v>
      </c>
      <c r="F21">
        <f t="shared" si="11"/>
        <v>174.8</v>
      </c>
      <c r="G21">
        <f t="shared" si="11"/>
        <v>356.5</v>
      </c>
      <c r="H21">
        <f t="shared" si="11"/>
        <v>0</v>
      </c>
      <c r="I21">
        <f t="shared" si="11"/>
        <v>0</v>
      </c>
      <c r="J21">
        <f t="shared" si="11"/>
        <v>0</v>
      </c>
      <c r="K21" s="27">
        <f ca="1">Table13532[[#This Row],[Total]]+1</f>
        <v>705.2791666666667</v>
      </c>
    </row>
    <row r="22" spans="1:11" x14ac:dyDescent="0.3">
      <c r="A22" s="62"/>
      <c r="B22" t="s">
        <v>7</v>
      </c>
      <c r="C22">
        <f t="shared" ref="C22:J22" si="12">C7*C$14</f>
        <v>33.541666666666664</v>
      </c>
      <c r="D22">
        <f t="shared" si="12"/>
        <v>0</v>
      </c>
      <c r="E22">
        <f t="shared" si="12"/>
        <v>139.4375</v>
      </c>
      <c r="F22">
        <f t="shared" si="12"/>
        <v>174.8</v>
      </c>
      <c r="G22">
        <f t="shared" si="12"/>
        <v>356.5</v>
      </c>
      <c r="H22">
        <f t="shared" si="12"/>
        <v>0</v>
      </c>
      <c r="I22">
        <f t="shared" si="12"/>
        <v>327.75</v>
      </c>
      <c r="J22">
        <f t="shared" si="12"/>
        <v>0</v>
      </c>
      <c r="K22" s="27">
        <f ca="1">Table13532[[#This Row],[Total]]+1</f>
        <v>1033.0291666666667</v>
      </c>
    </row>
    <row r="23" spans="1:11" x14ac:dyDescent="0.3">
      <c r="A23" s="62"/>
      <c r="B23" t="s">
        <v>126</v>
      </c>
      <c r="C23">
        <f t="shared" ref="C23:J23" si="13">C8*C$14</f>
        <v>33.541666666666664</v>
      </c>
      <c r="D23">
        <f t="shared" si="13"/>
        <v>0</v>
      </c>
      <c r="E23">
        <f t="shared" si="13"/>
        <v>139.4375</v>
      </c>
      <c r="F23">
        <f t="shared" si="13"/>
        <v>174.8</v>
      </c>
      <c r="G23">
        <f t="shared" si="13"/>
        <v>356.5</v>
      </c>
      <c r="H23">
        <f t="shared" si="13"/>
        <v>0</v>
      </c>
      <c r="I23">
        <f t="shared" si="13"/>
        <v>327.75</v>
      </c>
      <c r="J23">
        <f t="shared" si="13"/>
        <v>0</v>
      </c>
      <c r="K23" s="27">
        <f ca="1">Table13532[[#This Row],[Total]]+1</f>
        <v>1033.0291666666667</v>
      </c>
    </row>
    <row r="24" spans="1:11" x14ac:dyDescent="0.3">
      <c r="B24" s="2" t="s">
        <v>26</v>
      </c>
      <c r="C24" s="2">
        <f t="shared" ref="C24:J24" si="14">SUM(C18:C23)</f>
        <v>201.24999999999997</v>
      </c>
      <c r="D24" s="2">
        <f t="shared" si="14"/>
        <v>529</v>
      </c>
      <c r="E24" s="2">
        <f t="shared" si="14"/>
        <v>1115.5</v>
      </c>
      <c r="F24" s="2">
        <f t="shared" si="14"/>
        <v>874</v>
      </c>
      <c r="G24" s="2">
        <f t="shared" si="14"/>
        <v>1426</v>
      </c>
      <c r="H24" s="2">
        <f t="shared" si="14"/>
        <v>724.5</v>
      </c>
      <c r="I24" s="2">
        <f t="shared" si="14"/>
        <v>655.5</v>
      </c>
      <c r="J24" s="2">
        <f t="shared" si="14"/>
        <v>247.25</v>
      </c>
      <c r="K24" s="13">
        <f t="shared" ref="K24" si="15">6000-220</f>
        <v>5780</v>
      </c>
    </row>
  </sheetData>
  <mergeCells count="6">
    <mergeCell ref="A3:A8"/>
    <mergeCell ref="A18:A23"/>
    <mergeCell ref="C1:D1"/>
    <mergeCell ref="E1:J1"/>
    <mergeCell ref="C16:D16"/>
    <mergeCell ref="E16:J16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5"/>
  <sheetViews>
    <sheetView workbookViewId="0">
      <selection activeCell="H24" sqref="H24"/>
    </sheetView>
  </sheetViews>
  <sheetFormatPr defaultRowHeight="14.4" x14ac:dyDescent="0.3"/>
  <cols>
    <col min="1" max="1" width="17.44140625" bestFit="1" customWidth="1"/>
    <col min="2" max="2" width="11.88671875" customWidth="1"/>
    <col min="3" max="3" width="11" customWidth="1"/>
    <col min="4" max="4" width="15.6640625" bestFit="1" customWidth="1"/>
    <col min="7" max="7" width="12" bestFit="1" customWidth="1"/>
  </cols>
  <sheetData>
    <row r="1" spans="1:8" x14ac:dyDescent="0.3">
      <c r="A1" t="s">
        <v>207</v>
      </c>
      <c r="B1" t="s">
        <v>208</v>
      </c>
      <c r="C1" t="s">
        <v>185</v>
      </c>
      <c r="D1" t="s">
        <v>209</v>
      </c>
    </row>
    <row r="2" spans="1:8" x14ac:dyDescent="0.3">
      <c r="A2" t="s">
        <v>206</v>
      </c>
      <c r="B2">
        <v>1600</v>
      </c>
      <c r="C2">
        <v>8</v>
      </c>
      <c r="D2">
        <f>B2/C2</f>
        <v>200</v>
      </c>
    </row>
    <row r="3" spans="1:8" x14ac:dyDescent="0.3">
      <c r="A3" t="s">
        <v>210</v>
      </c>
      <c r="B3">
        <v>300</v>
      </c>
      <c r="C3">
        <v>15</v>
      </c>
      <c r="D3">
        <f>B3/C3</f>
        <v>20</v>
      </c>
    </row>
    <row r="4" spans="1:8" x14ac:dyDescent="0.3">
      <c r="A4" t="s">
        <v>26</v>
      </c>
      <c r="B4">
        <v>1900</v>
      </c>
    </row>
    <row r="6" spans="1:8" x14ac:dyDescent="0.3">
      <c r="A6" t="s">
        <v>176</v>
      </c>
      <c r="B6" t="s">
        <v>206</v>
      </c>
      <c r="C6" t="s">
        <v>210</v>
      </c>
      <c r="D6" t="s">
        <v>211</v>
      </c>
    </row>
    <row r="7" spans="1:8" x14ac:dyDescent="0.3">
      <c r="A7" t="s">
        <v>214</v>
      </c>
      <c r="B7">
        <v>1</v>
      </c>
      <c r="C7">
        <v>5</v>
      </c>
      <c r="D7">
        <f t="shared" ref="D7:D9" si="0">(B7*$D$2)+(C7*$D$3)</f>
        <v>300</v>
      </c>
    </row>
    <row r="8" spans="1:8" x14ac:dyDescent="0.3">
      <c r="A8" t="s">
        <v>212</v>
      </c>
      <c r="C8">
        <v>2</v>
      </c>
      <c r="D8">
        <f t="shared" si="0"/>
        <v>40</v>
      </c>
    </row>
    <row r="9" spans="1:8" x14ac:dyDescent="0.3">
      <c r="A9" t="s">
        <v>213</v>
      </c>
      <c r="B9">
        <v>1</v>
      </c>
      <c r="C9">
        <v>2</v>
      </c>
      <c r="D9">
        <f t="shared" si="0"/>
        <v>240</v>
      </c>
    </row>
    <row r="10" spans="1:8" x14ac:dyDescent="0.3">
      <c r="A10" t="s">
        <v>215</v>
      </c>
      <c r="B10">
        <v>6</v>
      </c>
      <c r="C10">
        <v>6</v>
      </c>
      <c r="D10">
        <f>(B10*$D$2)+(C10*$D$3)</f>
        <v>1320</v>
      </c>
    </row>
    <row r="11" spans="1:8" x14ac:dyDescent="0.3">
      <c r="A11" t="s">
        <v>26</v>
      </c>
      <c r="D11">
        <f>SUM(D7:D10)</f>
        <v>1900</v>
      </c>
    </row>
    <row r="14" spans="1:8" x14ac:dyDescent="0.3">
      <c r="A14" t="s">
        <v>215</v>
      </c>
      <c r="B14" t="s">
        <v>206</v>
      </c>
      <c r="C14" t="s">
        <v>210</v>
      </c>
      <c r="D14" t="s">
        <v>218</v>
      </c>
      <c r="F14" t="s">
        <v>219</v>
      </c>
      <c r="G14" t="s">
        <v>220</v>
      </c>
      <c r="H14" t="s">
        <v>223</v>
      </c>
    </row>
    <row r="15" spans="1:8" x14ac:dyDescent="0.3">
      <c r="A15" t="s">
        <v>4</v>
      </c>
      <c r="B15">
        <v>1</v>
      </c>
      <c r="C15">
        <v>1</v>
      </c>
      <c r="D15" s="47">
        <f t="shared" ref="D15:D20" si="1">(B15*$D$2)+(C15*$D$3)</f>
        <v>220</v>
      </c>
      <c r="F15">
        <v>500</v>
      </c>
      <c r="G15">
        <f>F15-Table34[[#This Row],[Price / Person]]</f>
        <v>280</v>
      </c>
    </row>
    <row r="16" spans="1:8" x14ac:dyDescent="0.3">
      <c r="A16" t="s">
        <v>74</v>
      </c>
      <c r="B16">
        <v>1</v>
      </c>
      <c r="C16">
        <v>2</v>
      </c>
      <c r="D16" s="47">
        <f t="shared" si="1"/>
        <v>240</v>
      </c>
      <c r="G16">
        <f>F16-Table34[[#This Row],[Price / Person]]</f>
        <v>-240</v>
      </c>
    </row>
    <row r="17" spans="1:8" x14ac:dyDescent="0.3">
      <c r="A17" t="s">
        <v>7</v>
      </c>
      <c r="B17">
        <v>1</v>
      </c>
      <c r="C17">
        <v>1</v>
      </c>
      <c r="D17" s="47">
        <f t="shared" si="1"/>
        <v>220</v>
      </c>
      <c r="G17">
        <f>F17-Table34[[#This Row],[Price / Person]]</f>
        <v>-220</v>
      </c>
    </row>
    <row r="18" spans="1:8" x14ac:dyDescent="0.3">
      <c r="A18" t="s">
        <v>6</v>
      </c>
      <c r="B18">
        <v>1</v>
      </c>
      <c r="D18" s="47">
        <f t="shared" si="1"/>
        <v>200</v>
      </c>
      <c r="G18">
        <f>F18-Table34[[#This Row],[Price / Person]]</f>
        <v>-200</v>
      </c>
    </row>
    <row r="19" spans="1:8" x14ac:dyDescent="0.3">
      <c r="A19" t="s">
        <v>216</v>
      </c>
      <c r="B19">
        <v>1</v>
      </c>
      <c r="C19">
        <v>1</v>
      </c>
      <c r="D19" s="47">
        <f t="shared" si="1"/>
        <v>220</v>
      </c>
      <c r="G19">
        <f>F19-Table34[[#This Row],[Price / Person]]</f>
        <v>-220</v>
      </c>
      <c r="H19">
        <v>0</v>
      </c>
    </row>
    <row r="20" spans="1:8" x14ac:dyDescent="0.3">
      <c r="A20" t="s">
        <v>217</v>
      </c>
      <c r="B20">
        <v>1</v>
      </c>
      <c r="C20">
        <v>1</v>
      </c>
      <c r="D20" s="47">
        <f t="shared" si="1"/>
        <v>220</v>
      </c>
      <c r="F20">
        <v>500</v>
      </c>
      <c r="G20">
        <f>F20-Table34[[#This Row],[Price / Person]]</f>
        <v>280</v>
      </c>
      <c r="H20">
        <v>0</v>
      </c>
    </row>
    <row r="21" spans="1:8" x14ac:dyDescent="0.3">
      <c r="A21" s="48" t="s">
        <v>221</v>
      </c>
      <c r="B21" s="48">
        <v>1</v>
      </c>
      <c r="C21" s="48"/>
      <c r="D21" s="49">
        <f>(B21*$D$2)+(C21*$D$3)</f>
        <v>200</v>
      </c>
      <c r="G21">
        <f>F21-Table34[[#This Row],[Price / Person]]</f>
        <v>-200</v>
      </c>
    </row>
    <row r="22" spans="1:8" x14ac:dyDescent="0.3">
      <c r="A22" s="48" t="s">
        <v>222</v>
      </c>
      <c r="B22" s="48"/>
      <c r="C22" s="48">
        <v>5</v>
      </c>
      <c r="D22" s="49">
        <f>(B22*$D$2)+(C22*$D$3)</f>
        <v>100</v>
      </c>
      <c r="G22">
        <f>F22-Table34[[#This Row],[Price / Person]]</f>
        <v>-100</v>
      </c>
    </row>
    <row r="23" spans="1:8" x14ac:dyDescent="0.3">
      <c r="A23" s="48" t="s">
        <v>212</v>
      </c>
      <c r="B23" s="48"/>
      <c r="C23" s="48">
        <v>2</v>
      </c>
      <c r="D23" s="49">
        <f>(B23*$D$2)+(C23*$D$3)</f>
        <v>40</v>
      </c>
      <c r="F23">
        <v>50</v>
      </c>
      <c r="G23">
        <f>F23-Table34[[#This Row],[Price / Person]]</f>
        <v>10</v>
      </c>
      <c r="H23">
        <v>0</v>
      </c>
    </row>
    <row r="24" spans="1:8" x14ac:dyDescent="0.3">
      <c r="A24" s="48" t="s">
        <v>180</v>
      </c>
      <c r="B24" s="48">
        <v>1</v>
      </c>
      <c r="C24" s="48">
        <v>2</v>
      </c>
      <c r="D24" s="49">
        <f>(B24*$D$2)+(C24*$D$3)</f>
        <v>240</v>
      </c>
      <c r="F24">
        <v>1000</v>
      </c>
      <c r="G24">
        <f>F24-Table34[[#This Row],[Price / Person]]</f>
        <v>760</v>
      </c>
      <c r="H24">
        <v>100</v>
      </c>
    </row>
    <row r="25" spans="1:8" x14ac:dyDescent="0.3">
      <c r="A25" s="48" t="s">
        <v>26</v>
      </c>
      <c r="B25" s="48"/>
      <c r="C25" s="48"/>
      <c r="D25" s="49">
        <f>SUM(D15:D24)</f>
        <v>1900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5" workbookViewId="0">
      <selection activeCell="C2" sqref="C2"/>
    </sheetView>
  </sheetViews>
  <sheetFormatPr defaultRowHeight="14.4" x14ac:dyDescent="0.3"/>
  <cols>
    <col min="2" max="2" width="9.88671875" customWidth="1"/>
    <col min="3" max="3" width="6.33203125" customWidth="1"/>
    <col min="4" max="4" width="7.33203125" customWidth="1"/>
    <col min="5" max="5" width="7.88671875" customWidth="1"/>
    <col min="6" max="6" width="9.33203125" customWidth="1"/>
    <col min="7" max="7" width="7" customWidth="1"/>
    <col min="8" max="8" width="9.109375" customWidth="1"/>
    <col min="9" max="9" width="8.44140625" customWidth="1"/>
    <col min="10" max="10" width="9.109375" customWidth="1"/>
    <col min="11" max="11" width="8.33203125" customWidth="1"/>
    <col min="12" max="12" width="7.44140625" customWidth="1"/>
    <col min="13" max="13" width="8.5546875" customWidth="1"/>
    <col min="14" max="14" width="8.6640625" customWidth="1"/>
    <col min="15" max="15" width="10.88671875" customWidth="1"/>
    <col min="16" max="16" width="8.88671875" customWidth="1"/>
    <col min="17" max="17" width="10" bestFit="1" customWidth="1"/>
  </cols>
  <sheetData>
    <row r="1" spans="1:17" x14ac:dyDescent="0.3">
      <c r="C1" s="60" t="s">
        <v>22</v>
      </c>
      <c r="D1" s="60"/>
      <c r="E1" s="60"/>
      <c r="F1" s="60"/>
      <c r="G1" s="60"/>
      <c r="H1" s="60"/>
      <c r="I1" s="61" t="s">
        <v>23</v>
      </c>
      <c r="J1" s="61"/>
      <c r="K1" s="61"/>
      <c r="L1" s="61"/>
      <c r="M1" s="61"/>
      <c r="N1" s="61"/>
      <c r="O1" s="61"/>
      <c r="P1" s="61"/>
    </row>
    <row r="2" spans="1:17" ht="61.5" customHeight="1" x14ac:dyDescent="0.3">
      <c r="B2" s="1" t="s">
        <v>25</v>
      </c>
      <c r="C2" s="1" t="s">
        <v>37</v>
      </c>
      <c r="D2" s="1" t="s">
        <v>38</v>
      </c>
      <c r="E2" s="1" t="s">
        <v>39</v>
      </c>
      <c r="F2" s="1" t="s">
        <v>14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40</v>
      </c>
      <c r="O2" s="1" t="s">
        <v>41</v>
      </c>
      <c r="P2" s="1" t="s">
        <v>49</v>
      </c>
      <c r="Q2" s="3" t="s">
        <v>26</v>
      </c>
    </row>
    <row r="3" spans="1:17" x14ac:dyDescent="0.3">
      <c r="A3" s="62" t="s">
        <v>24</v>
      </c>
      <c r="B3" t="s">
        <v>0</v>
      </c>
      <c r="C3">
        <v>1</v>
      </c>
      <c r="F3">
        <v>1</v>
      </c>
      <c r="J3">
        <v>1</v>
      </c>
      <c r="Q3" s="2">
        <f>SUM(Table14[[#This Row],[Water]:[Column3]])</f>
        <v>3</v>
      </c>
    </row>
    <row r="4" spans="1:17" x14ac:dyDescent="0.3">
      <c r="A4" s="62"/>
      <c r="B4" t="s">
        <v>1</v>
      </c>
      <c r="C4">
        <v>1</v>
      </c>
      <c r="D4">
        <v>1</v>
      </c>
      <c r="I4">
        <v>0.5</v>
      </c>
      <c r="Q4" s="2">
        <f>SUM(Table14[[#This Row],[Water]:[Column3]])</f>
        <v>2.5</v>
      </c>
    </row>
    <row r="5" spans="1:17" x14ac:dyDescent="0.3">
      <c r="A5" s="62"/>
      <c r="B5" t="s">
        <v>4</v>
      </c>
      <c r="C5">
        <v>1</v>
      </c>
      <c r="E5">
        <v>1</v>
      </c>
      <c r="I5">
        <v>0.5</v>
      </c>
      <c r="Q5" s="2">
        <f>SUM(Table14[[#This Row],[Water]:[Column3]])</f>
        <v>2.5</v>
      </c>
    </row>
    <row r="6" spans="1:17" x14ac:dyDescent="0.3">
      <c r="A6" s="62"/>
      <c r="B6" t="s">
        <v>5</v>
      </c>
      <c r="C6">
        <v>1</v>
      </c>
      <c r="F6">
        <v>1</v>
      </c>
      <c r="K6">
        <v>1</v>
      </c>
      <c r="N6" s="4"/>
      <c r="Q6" s="2">
        <f>SUM(Table14[[#This Row],[Water]:[Column3]])</f>
        <v>3</v>
      </c>
    </row>
    <row r="7" spans="1:17" x14ac:dyDescent="0.3">
      <c r="A7" s="62"/>
      <c r="B7" t="s">
        <v>9</v>
      </c>
      <c r="C7">
        <v>1</v>
      </c>
      <c r="M7">
        <v>1</v>
      </c>
      <c r="Q7" s="2">
        <f>SUM(Table14[[#This Row],[Water]:[Column3]])</f>
        <v>2</v>
      </c>
    </row>
    <row r="8" spans="1:17" x14ac:dyDescent="0.3">
      <c r="A8" s="62"/>
      <c r="B8" t="s">
        <v>6</v>
      </c>
      <c r="C8">
        <v>1</v>
      </c>
      <c r="D8">
        <v>1</v>
      </c>
      <c r="Q8" s="2">
        <f>SUM(Table14[[#This Row],[Water]:[Column3]])</f>
        <v>2</v>
      </c>
    </row>
    <row r="9" spans="1:17" x14ac:dyDescent="0.3">
      <c r="A9" s="62"/>
      <c r="B9" t="s">
        <v>7</v>
      </c>
      <c r="C9">
        <v>1</v>
      </c>
      <c r="L9">
        <v>1</v>
      </c>
      <c r="Q9" s="2">
        <f>SUM(Table14[[#This Row],[Water]:[Column3]])</f>
        <v>2</v>
      </c>
    </row>
    <row r="10" spans="1:17" x14ac:dyDescent="0.3">
      <c r="A10" s="62"/>
      <c r="Q10" s="2"/>
    </row>
    <row r="11" spans="1:17" x14ac:dyDescent="0.3">
      <c r="A11" s="62"/>
      <c r="K11" s="4"/>
      <c r="Q11" s="2"/>
    </row>
    <row r="12" spans="1:17" x14ac:dyDescent="0.3">
      <c r="A12" s="62"/>
      <c r="Q12" s="2"/>
    </row>
    <row r="13" spans="1:17" x14ac:dyDescent="0.3">
      <c r="B13" s="2" t="s">
        <v>26</v>
      </c>
      <c r="C13" s="2">
        <f>SUM(C3:C12)</f>
        <v>7</v>
      </c>
      <c r="D13" s="2">
        <f t="shared" ref="D13:P13" si="0">SUM(D3:D12)</f>
        <v>2</v>
      </c>
      <c r="E13" s="2">
        <f t="shared" si="0"/>
        <v>1</v>
      </c>
      <c r="F13" s="2">
        <f t="shared" si="0"/>
        <v>2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>SUM(Table14[[#This Row],[Water]:[Column3]])</f>
        <v>17</v>
      </c>
    </row>
    <row r="15" spans="1:17" x14ac:dyDescent="0.3">
      <c r="B15" s="10" t="s">
        <v>29</v>
      </c>
      <c r="C15" s="5">
        <v>7.4999999999999997E-2</v>
      </c>
    </row>
    <row r="16" spans="1:17" x14ac:dyDescent="0.3">
      <c r="B16" s="10" t="s">
        <v>30</v>
      </c>
      <c r="C16" s="11">
        <v>110</v>
      </c>
      <c r="D16" s="11">
        <v>150</v>
      </c>
      <c r="E16" s="11">
        <v>60</v>
      </c>
      <c r="F16" s="11">
        <v>325</v>
      </c>
      <c r="G16" s="11">
        <v>345</v>
      </c>
      <c r="H16" s="11">
        <v>425</v>
      </c>
      <c r="I16" s="11">
        <v>545</v>
      </c>
      <c r="J16" s="11">
        <v>945</v>
      </c>
      <c r="K16" s="11">
        <v>1095</v>
      </c>
      <c r="L16" s="11">
        <v>1095</v>
      </c>
      <c r="M16" s="11">
        <v>1075</v>
      </c>
      <c r="N16" s="11">
        <v>1195</v>
      </c>
      <c r="O16" s="11">
        <v>945</v>
      </c>
      <c r="P16" s="11">
        <v>1195</v>
      </c>
      <c r="Q16" s="11">
        <f>SUM(C16:P16)</f>
        <v>9505</v>
      </c>
    </row>
    <row r="17" spans="1:17" x14ac:dyDescent="0.3">
      <c r="B17" s="10" t="s">
        <v>31</v>
      </c>
      <c r="C17">
        <f t="shared" ref="C17:Q17" si="1">C16*$C$15</f>
        <v>8.25</v>
      </c>
      <c r="D17">
        <f t="shared" si="1"/>
        <v>11.25</v>
      </c>
      <c r="E17">
        <f t="shared" si="1"/>
        <v>4.5</v>
      </c>
      <c r="F17">
        <f t="shared" si="1"/>
        <v>24.375</v>
      </c>
      <c r="G17">
        <f t="shared" si="1"/>
        <v>25.875</v>
      </c>
      <c r="H17">
        <f t="shared" si="1"/>
        <v>31.875</v>
      </c>
      <c r="I17">
        <f t="shared" si="1"/>
        <v>40.875</v>
      </c>
      <c r="J17">
        <f t="shared" si="1"/>
        <v>70.875</v>
      </c>
      <c r="K17">
        <f t="shared" si="1"/>
        <v>82.125</v>
      </c>
      <c r="L17">
        <f t="shared" si="1"/>
        <v>82.125</v>
      </c>
      <c r="M17">
        <f t="shared" si="1"/>
        <v>80.625</v>
      </c>
      <c r="N17">
        <f t="shared" si="1"/>
        <v>89.625</v>
      </c>
      <c r="O17">
        <f t="shared" si="1"/>
        <v>70.875</v>
      </c>
      <c r="P17">
        <f t="shared" si="1"/>
        <v>89.625</v>
      </c>
      <c r="Q17">
        <f t="shared" si="1"/>
        <v>712.875</v>
      </c>
    </row>
    <row r="18" spans="1:17" x14ac:dyDescent="0.3">
      <c r="B18" s="10" t="s">
        <v>32</v>
      </c>
      <c r="C18" s="12">
        <f>SUM(C16:C17)</f>
        <v>118.25</v>
      </c>
      <c r="D18" s="12">
        <f t="shared" ref="D18:Q18" si="2">SUM(D16:D17)</f>
        <v>161.25</v>
      </c>
      <c r="E18" s="12">
        <f t="shared" si="2"/>
        <v>64.5</v>
      </c>
      <c r="F18" s="12">
        <f t="shared" si="2"/>
        <v>349.375</v>
      </c>
      <c r="G18" s="12">
        <f t="shared" si="2"/>
        <v>370.875</v>
      </c>
      <c r="H18" s="12">
        <f t="shared" si="2"/>
        <v>456.875</v>
      </c>
      <c r="I18" s="12">
        <f t="shared" si="2"/>
        <v>585.875</v>
      </c>
      <c r="J18" s="12">
        <f t="shared" si="2"/>
        <v>1015.875</v>
      </c>
      <c r="K18" s="12">
        <f t="shared" si="2"/>
        <v>1177.125</v>
      </c>
      <c r="L18" s="12">
        <f t="shared" si="2"/>
        <v>1177.125</v>
      </c>
      <c r="M18" s="12">
        <f t="shared" si="2"/>
        <v>1155.625</v>
      </c>
      <c r="N18" s="12">
        <f t="shared" si="2"/>
        <v>1284.625</v>
      </c>
      <c r="O18" s="12">
        <f t="shared" si="2"/>
        <v>1015.875</v>
      </c>
      <c r="P18" s="12">
        <f t="shared" si="2"/>
        <v>1284.625</v>
      </c>
      <c r="Q18" s="12">
        <f t="shared" si="2"/>
        <v>10217.875</v>
      </c>
    </row>
    <row r="20" spans="1:17" x14ac:dyDescent="0.3">
      <c r="C20" s="60" t="s">
        <v>22</v>
      </c>
      <c r="D20" s="60"/>
      <c r="E20" s="60"/>
      <c r="F20" s="60"/>
      <c r="G20" s="60"/>
      <c r="H20" s="60"/>
      <c r="I20" s="61" t="s">
        <v>23</v>
      </c>
      <c r="J20" s="61"/>
      <c r="K20" s="61"/>
      <c r="L20" s="61"/>
      <c r="M20" s="61"/>
      <c r="N20" s="61"/>
      <c r="O20" s="61"/>
      <c r="P20" s="61"/>
    </row>
    <row r="21" spans="1:17" ht="43.2" x14ac:dyDescent="0.3">
      <c r="B21" s="1" t="s">
        <v>25</v>
      </c>
      <c r="C21" s="1" t="s">
        <v>37</v>
      </c>
      <c r="D21" s="1" t="s">
        <v>38</v>
      </c>
      <c r="E21" s="1" t="s">
        <v>39</v>
      </c>
      <c r="F21" s="1" t="s">
        <v>14</v>
      </c>
      <c r="G21" s="1" t="s">
        <v>42</v>
      </c>
      <c r="H21" s="1" t="s">
        <v>43</v>
      </c>
      <c r="I21" s="1" t="s">
        <v>44</v>
      </c>
      <c r="J21" s="1" t="s">
        <v>45</v>
      </c>
      <c r="K21" s="1" t="s">
        <v>46</v>
      </c>
      <c r="L21" s="1" t="s">
        <v>47</v>
      </c>
      <c r="M21" s="1" t="s">
        <v>48</v>
      </c>
      <c r="N21" s="1" t="s">
        <v>40</v>
      </c>
      <c r="O21" s="1" t="s">
        <v>41</v>
      </c>
      <c r="P21" s="1" t="s">
        <v>49</v>
      </c>
      <c r="Q21" s="3" t="s">
        <v>26</v>
      </c>
    </row>
    <row r="22" spans="1:17" x14ac:dyDescent="0.3">
      <c r="A22" s="62" t="s">
        <v>24</v>
      </c>
      <c r="B22" t="s">
        <v>0</v>
      </c>
      <c r="C22">
        <v>90</v>
      </c>
      <c r="F22">
        <v>360</v>
      </c>
      <c r="J22">
        <v>1400</v>
      </c>
      <c r="Q22" s="2">
        <f>SUM(Table135[[#This Row],[Water]:[Column3]])</f>
        <v>1850</v>
      </c>
    </row>
    <row r="23" spans="1:17" x14ac:dyDescent="0.3">
      <c r="A23" s="62"/>
      <c r="B23" t="s">
        <v>1</v>
      </c>
      <c r="C23">
        <v>90</v>
      </c>
      <c r="D23">
        <v>420</v>
      </c>
      <c r="I23">
        <v>1300</v>
      </c>
      <c r="Q23" s="2">
        <f>SUM(Table135[[#This Row],[Water]:[Column3]])</f>
        <v>1810</v>
      </c>
    </row>
    <row r="24" spans="1:17" x14ac:dyDescent="0.3">
      <c r="A24" s="62"/>
      <c r="B24" t="s">
        <v>4</v>
      </c>
      <c r="C24">
        <v>90</v>
      </c>
      <c r="E24">
        <v>450</v>
      </c>
      <c r="I24">
        <v>1300</v>
      </c>
      <c r="Q24" s="2">
        <f>SUM(Table135[[#This Row],[Water]:[Column3]])</f>
        <v>1840</v>
      </c>
    </row>
    <row r="25" spans="1:17" x14ac:dyDescent="0.3">
      <c r="A25" s="62"/>
      <c r="B25" t="s">
        <v>5</v>
      </c>
      <c r="C25">
        <v>90</v>
      </c>
      <c r="F25">
        <v>360</v>
      </c>
      <c r="K25">
        <v>1300</v>
      </c>
      <c r="N25" s="4"/>
      <c r="Q25" s="2">
        <f>SUM(Table135[[#This Row],[Water]:[Column3]])</f>
        <v>1750</v>
      </c>
    </row>
    <row r="26" spans="1:17" x14ac:dyDescent="0.3">
      <c r="A26" s="62"/>
      <c r="B26" t="s">
        <v>9</v>
      </c>
      <c r="C26">
        <v>90</v>
      </c>
      <c r="M26">
        <v>950</v>
      </c>
      <c r="Q26" s="2">
        <f>SUM(Table135[[#This Row],[Water]:[Column3]])</f>
        <v>1040</v>
      </c>
    </row>
    <row r="27" spans="1:17" x14ac:dyDescent="0.3">
      <c r="A27" s="62"/>
      <c r="B27" t="s">
        <v>6</v>
      </c>
      <c r="C27">
        <v>90</v>
      </c>
      <c r="D27">
        <v>420</v>
      </c>
      <c r="Q27" s="2">
        <f>SUM(Table135[[#This Row],[Water]:[Column3]])</f>
        <v>510</v>
      </c>
    </row>
    <row r="28" spans="1:17" x14ac:dyDescent="0.3">
      <c r="A28" s="62"/>
      <c r="B28" t="s">
        <v>7</v>
      </c>
      <c r="C28">
        <v>90</v>
      </c>
      <c r="L28">
        <v>750</v>
      </c>
      <c r="Q28" s="2">
        <f>SUM(Table135[[#This Row],[Water]:[Column3]])</f>
        <v>840</v>
      </c>
    </row>
    <row r="29" spans="1:17" x14ac:dyDescent="0.3">
      <c r="B29" s="2" t="s">
        <v>26</v>
      </c>
      <c r="C29" s="2">
        <f t="shared" ref="C29:Q29" si="3">SUM(C22:C28)</f>
        <v>630</v>
      </c>
      <c r="D29" s="2">
        <f t="shared" si="3"/>
        <v>840</v>
      </c>
      <c r="E29" s="2">
        <f t="shared" si="3"/>
        <v>450</v>
      </c>
      <c r="F29" s="2">
        <f t="shared" si="3"/>
        <v>720</v>
      </c>
      <c r="G29" s="2">
        <f t="shared" si="3"/>
        <v>0</v>
      </c>
      <c r="H29" s="2">
        <f t="shared" si="3"/>
        <v>0</v>
      </c>
      <c r="I29" s="2">
        <f t="shared" si="3"/>
        <v>2600</v>
      </c>
      <c r="J29" s="2">
        <f t="shared" si="3"/>
        <v>1400</v>
      </c>
      <c r="K29" s="2">
        <f t="shared" si="3"/>
        <v>1300</v>
      </c>
      <c r="L29" s="2">
        <f t="shared" si="3"/>
        <v>750</v>
      </c>
      <c r="M29" s="2">
        <f t="shared" si="3"/>
        <v>950</v>
      </c>
      <c r="N29" s="2">
        <f t="shared" si="3"/>
        <v>0</v>
      </c>
      <c r="O29" s="2">
        <f t="shared" si="3"/>
        <v>0</v>
      </c>
      <c r="P29" s="2">
        <f t="shared" si="3"/>
        <v>0</v>
      </c>
      <c r="Q29" s="13">
        <f t="shared" si="3"/>
        <v>9640</v>
      </c>
    </row>
  </sheetData>
  <mergeCells count="6">
    <mergeCell ref="A22:A28"/>
    <mergeCell ref="C1:H1"/>
    <mergeCell ref="I1:P1"/>
    <mergeCell ref="A3:A12"/>
    <mergeCell ref="C20:H20"/>
    <mergeCell ref="I20:P20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4"/>
  <sheetViews>
    <sheetView topLeftCell="A13" workbookViewId="0">
      <selection activeCell="U28" sqref="U28"/>
    </sheetView>
  </sheetViews>
  <sheetFormatPr defaultRowHeight="14.4" x14ac:dyDescent="0.3"/>
  <cols>
    <col min="2" max="2" width="11.33203125" bestFit="1" customWidth="1"/>
    <col min="3" max="3" width="10" bestFit="1" customWidth="1"/>
    <col min="4" max="4" width="7.33203125" customWidth="1"/>
    <col min="5" max="5" width="7.88671875" customWidth="1"/>
    <col min="6" max="6" width="9.33203125" hidden="1" customWidth="1"/>
    <col min="7" max="7" width="7" hidden="1" customWidth="1"/>
    <col min="8" max="8" width="9.109375" hidden="1" customWidth="1"/>
    <col min="9" max="9" width="12.6640625" customWidth="1"/>
    <col min="10" max="10" width="9.109375" customWidth="1"/>
    <col min="11" max="11" width="8.33203125" customWidth="1"/>
    <col min="12" max="12" width="10" bestFit="1" customWidth="1"/>
    <col min="13" max="13" width="13" bestFit="1" customWidth="1"/>
    <col min="14" max="14" width="8.6640625" customWidth="1"/>
    <col min="15" max="15" width="10.88671875" customWidth="1"/>
    <col min="16" max="16" width="8.88671875" hidden="1" customWidth="1"/>
    <col min="17" max="18" width="10" hidden="1" customWidth="1"/>
    <col min="19" max="19" width="9.44140625" bestFit="1" customWidth="1"/>
    <col min="20" max="20" width="10.5546875" bestFit="1" customWidth="1"/>
  </cols>
  <sheetData>
    <row r="1" spans="1:18" x14ac:dyDescent="0.3">
      <c r="C1" s="60" t="s">
        <v>22</v>
      </c>
      <c r="D1" s="60"/>
      <c r="E1" s="60"/>
      <c r="F1" s="28"/>
      <c r="G1" s="28"/>
      <c r="H1" s="28"/>
      <c r="I1" s="61" t="s">
        <v>23</v>
      </c>
      <c r="J1" s="61"/>
      <c r="K1" s="61"/>
      <c r="L1" s="61"/>
      <c r="M1" s="61"/>
      <c r="N1" s="61"/>
      <c r="O1" s="61"/>
      <c r="P1" s="25"/>
    </row>
    <row r="2" spans="1:18" ht="28.8" x14ac:dyDescent="0.3">
      <c r="B2" s="1" t="s">
        <v>25</v>
      </c>
      <c r="C2" s="1" t="s">
        <v>10</v>
      </c>
      <c r="D2" s="1" t="s">
        <v>11</v>
      </c>
      <c r="E2" s="1" t="s">
        <v>114</v>
      </c>
      <c r="F2" s="1" t="s">
        <v>49</v>
      </c>
      <c r="G2" s="1" t="s">
        <v>41</v>
      </c>
      <c r="H2" s="1" t="s">
        <v>40</v>
      </c>
      <c r="I2" s="1" t="s">
        <v>115</v>
      </c>
      <c r="J2" s="1" t="s">
        <v>116</v>
      </c>
      <c r="K2" s="1" t="s">
        <v>117</v>
      </c>
      <c r="L2" s="1" t="s">
        <v>106</v>
      </c>
      <c r="M2" s="1" t="s">
        <v>118</v>
      </c>
      <c r="N2" s="1" t="s">
        <v>119</v>
      </c>
      <c r="O2" s="1" t="s">
        <v>120</v>
      </c>
      <c r="P2" s="1" t="s">
        <v>58</v>
      </c>
      <c r="Q2" s="3" t="s">
        <v>121</v>
      </c>
      <c r="R2" s="3"/>
    </row>
    <row r="3" spans="1:18" x14ac:dyDescent="0.3">
      <c r="A3" s="62" t="s">
        <v>24</v>
      </c>
      <c r="B3" t="s">
        <v>1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>
        <v>1</v>
      </c>
      <c r="N3" s="6"/>
      <c r="O3" s="6"/>
      <c r="P3" s="6"/>
      <c r="Q3" s="2">
        <f>SUM(Table121[[#This Row],[Coke]:[Column4]])</f>
        <v>2</v>
      </c>
      <c r="R3" s="2"/>
    </row>
    <row r="4" spans="1:18" x14ac:dyDescent="0.3">
      <c r="A4" s="62"/>
      <c r="B4" t="s">
        <v>9</v>
      </c>
      <c r="C4" s="6"/>
      <c r="D4" s="6"/>
      <c r="E4" s="6"/>
      <c r="F4" s="6"/>
      <c r="G4" s="6"/>
      <c r="H4" s="6"/>
      <c r="I4" s="6"/>
      <c r="J4" s="30">
        <v>0.625</v>
      </c>
      <c r="K4" s="6"/>
      <c r="L4" s="6"/>
      <c r="M4" s="6"/>
      <c r="N4" s="6"/>
      <c r="O4" s="6"/>
      <c r="P4" s="6"/>
      <c r="Q4" s="2">
        <f>SUM(Table121[[#This Row],[Coke]:[Column4]])</f>
        <v>0.625</v>
      </c>
      <c r="R4" s="2"/>
    </row>
    <row r="5" spans="1:18" x14ac:dyDescent="0.3">
      <c r="A5" s="62"/>
      <c r="B5" t="s">
        <v>6</v>
      </c>
      <c r="C5" s="6"/>
      <c r="D5" s="6">
        <v>1</v>
      </c>
      <c r="E5" s="6"/>
      <c r="F5" s="6"/>
      <c r="G5" s="6"/>
      <c r="H5" s="6"/>
      <c r="I5" s="6"/>
      <c r="J5" s="6"/>
      <c r="K5" s="6"/>
      <c r="L5" s="6">
        <v>1</v>
      </c>
      <c r="M5" s="6"/>
      <c r="N5" s="6"/>
      <c r="O5" s="6"/>
      <c r="P5" s="6"/>
      <c r="Q5" s="2">
        <f>SUM(Table121[[#This Row],[Coke]:[Column4]])</f>
        <v>2</v>
      </c>
      <c r="R5" s="2"/>
    </row>
    <row r="6" spans="1:18" x14ac:dyDescent="0.3">
      <c r="A6" s="62"/>
      <c r="B6" t="s">
        <v>7</v>
      </c>
      <c r="C6" s="6"/>
      <c r="D6" s="6">
        <v>1</v>
      </c>
      <c r="E6" s="6"/>
      <c r="F6" s="6"/>
      <c r="G6" s="6"/>
      <c r="H6" s="6"/>
      <c r="I6" s="6">
        <v>0.5</v>
      </c>
      <c r="J6" s="6"/>
      <c r="K6" s="6"/>
      <c r="L6" s="6">
        <v>0.5</v>
      </c>
      <c r="M6" s="6"/>
      <c r="N6" s="29"/>
      <c r="O6" s="6"/>
      <c r="P6" s="6"/>
      <c r="Q6" s="2">
        <f>SUM(Table121[[#This Row],[Coke]:[Column4]])</f>
        <v>2</v>
      </c>
      <c r="R6" s="2"/>
    </row>
    <row r="7" spans="1:18" x14ac:dyDescent="0.3">
      <c r="A7" s="62"/>
      <c r="B7" t="s">
        <v>81</v>
      </c>
      <c r="C7" s="6">
        <v>1</v>
      </c>
      <c r="D7" s="6"/>
      <c r="E7" s="6"/>
      <c r="F7" s="6"/>
      <c r="G7" s="6"/>
      <c r="H7" s="6"/>
      <c r="I7" s="6">
        <v>0.5</v>
      </c>
      <c r="J7" s="6"/>
      <c r="K7" s="6"/>
      <c r="L7" s="6">
        <v>0.5</v>
      </c>
      <c r="M7" s="6"/>
      <c r="N7" s="6"/>
      <c r="O7" s="6"/>
      <c r="P7" s="6"/>
      <c r="Q7" s="2">
        <f>SUM(Table121[[#This Row],[Coke]:[Column4]])</f>
        <v>2</v>
      </c>
      <c r="R7" s="2"/>
    </row>
    <row r="8" spans="1:18" x14ac:dyDescent="0.3">
      <c r="A8" s="62"/>
      <c r="B8" t="s">
        <v>99</v>
      </c>
      <c r="C8" s="6"/>
      <c r="D8" s="6"/>
      <c r="E8" s="6"/>
      <c r="F8" s="6"/>
      <c r="G8" s="6"/>
      <c r="H8" s="6"/>
      <c r="I8" s="6"/>
      <c r="J8" s="30">
        <v>0.375</v>
      </c>
      <c r="K8" s="6"/>
      <c r="L8" s="6"/>
      <c r="M8" s="6"/>
      <c r="N8" s="6"/>
      <c r="O8" s="6"/>
      <c r="P8" s="6"/>
      <c r="Q8" s="2">
        <f>SUM(Table121[[#This Row],[Coke]:[Column4]])</f>
        <v>0.375</v>
      </c>
      <c r="R8" s="2"/>
    </row>
    <row r="9" spans="1:18" x14ac:dyDescent="0.3">
      <c r="A9" s="62"/>
      <c r="B9" t="s">
        <v>90</v>
      </c>
      <c r="C9" s="6"/>
      <c r="D9" s="6"/>
      <c r="E9" s="6"/>
      <c r="F9" s="6"/>
      <c r="G9" s="6"/>
      <c r="H9" s="6"/>
      <c r="I9" s="6"/>
      <c r="J9" s="6"/>
      <c r="K9" s="6">
        <v>1</v>
      </c>
      <c r="L9" s="6"/>
      <c r="M9" s="6"/>
      <c r="N9" s="6"/>
      <c r="O9" s="6">
        <v>0.5</v>
      </c>
      <c r="P9" s="6"/>
      <c r="Q9" s="2">
        <f>SUM(Table121[[#This Row],[Coke]:[Column4]])</f>
        <v>1.5</v>
      </c>
      <c r="R9" s="2"/>
    </row>
    <row r="10" spans="1:18" x14ac:dyDescent="0.3">
      <c r="A10" s="62"/>
      <c r="B10" t="s">
        <v>74</v>
      </c>
      <c r="C10" s="6"/>
      <c r="D10" s="6"/>
      <c r="E10" s="6"/>
      <c r="F10" s="6"/>
      <c r="G10" s="6"/>
      <c r="H10" s="6"/>
      <c r="I10" s="6"/>
      <c r="J10" s="6"/>
      <c r="K10" s="6">
        <v>1</v>
      </c>
      <c r="L10" s="6"/>
      <c r="M10" s="6"/>
      <c r="N10" s="6"/>
      <c r="O10" s="6"/>
      <c r="P10" s="6"/>
      <c r="Q10" s="2">
        <f>SUM(Table121[[#This Row],[Coke]:[Column4]])</f>
        <v>1</v>
      </c>
      <c r="R10" s="2"/>
    </row>
    <row r="11" spans="1:18" x14ac:dyDescent="0.3">
      <c r="A11" s="62"/>
      <c r="B11" t="s">
        <v>89</v>
      </c>
      <c r="C11" s="6"/>
      <c r="D11" s="6"/>
      <c r="E11" s="6">
        <v>1</v>
      </c>
      <c r="F11" s="6"/>
      <c r="G11" s="6"/>
      <c r="H11" s="6"/>
      <c r="I11" s="6"/>
      <c r="J11" s="6"/>
      <c r="K11" s="29"/>
      <c r="L11" s="6"/>
      <c r="M11" s="6"/>
      <c r="N11" s="6">
        <v>1</v>
      </c>
      <c r="O11" s="6">
        <v>0.5</v>
      </c>
      <c r="P11" s="6"/>
      <c r="Q11" s="2">
        <f>SUM(Table121[[#This Row],[Coke]:[Column4]])</f>
        <v>2.5</v>
      </c>
      <c r="R11" s="2"/>
    </row>
    <row r="12" spans="1:18" x14ac:dyDescent="0.3">
      <c r="A12" s="6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>SUM(Table121[[#This Row],[Coke]:[Column4]])</f>
        <v>0</v>
      </c>
      <c r="R12" s="2"/>
    </row>
    <row r="13" spans="1:18" x14ac:dyDescent="0.3">
      <c r="B13" s="2" t="s">
        <v>26</v>
      </c>
      <c r="C13" s="2">
        <f>SUM(C3:C12)</f>
        <v>2</v>
      </c>
      <c r="D13" s="2">
        <f t="shared" ref="D13:P13" si="0">SUM(D3:D12)</f>
        <v>2</v>
      </c>
      <c r="E13" s="2">
        <f t="shared" si="0"/>
        <v>1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1</v>
      </c>
      <c r="J13" s="2">
        <f t="shared" si="0"/>
        <v>1</v>
      </c>
      <c r="K13" s="2">
        <f t="shared" si="0"/>
        <v>2</v>
      </c>
      <c r="L13" s="2">
        <f t="shared" si="0"/>
        <v>2</v>
      </c>
      <c r="M13" s="2">
        <f t="shared" si="0"/>
        <v>1</v>
      </c>
      <c r="N13" s="2">
        <f t="shared" si="0"/>
        <v>1</v>
      </c>
      <c r="O13" s="2">
        <f t="shared" si="0"/>
        <v>1</v>
      </c>
      <c r="P13" s="2">
        <f t="shared" si="0"/>
        <v>0</v>
      </c>
      <c r="Q13" s="2">
        <f>SUM(Table121[[#This Row],[Coke]:[Column4]])</f>
        <v>14</v>
      </c>
      <c r="R13" s="2"/>
    </row>
    <row r="15" spans="1:18" x14ac:dyDescent="0.3">
      <c r="B15" s="10" t="s">
        <v>29</v>
      </c>
      <c r="C15" s="5">
        <v>0.17</v>
      </c>
    </row>
    <row r="16" spans="1:18" x14ac:dyDescent="0.3">
      <c r="B16" s="10" t="s">
        <v>30</v>
      </c>
      <c r="C16" s="11">
        <v>150</v>
      </c>
      <c r="D16" s="11">
        <v>170</v>
      </c>
      <c r="E16" s="11">
        <v>150</v>
      </c>
      <c r="F16" s="11"/>
      <c r="G16" s="11"/>
      <c r="H16" s="11"/>
      <c r="I16" s="11">
        <v>1099</v>
      </c>
      <c r="J16" s="11">
        <v>2795</v>
      </c>
      <c r="K16" s="11">
        <v>795</v>
      </c>
      <c r="L16" s="11">
        <v>795</v>
      </c>
      <c r="M16" s="11">
        <v>1499</v>
      </c>
      <c r="N16" s="11">
        <v>895</v>
      </c>
      <c r="O16" s="11">
        <v>370</v>
      </c>
      <c r="P16" s="11"/>
      <c r="Q16" s="11">
        <f>SUM(C16:P16)</f>
        <v>8718</v>
      </c>
      <c r="R16" s="11"/>
    </row>
    <row r="17" spans="1:22" x14ac:dyDescent="0.3">
      <c r="B17" s="10" t="s">
        <v>31</v>
      </c>
      <c r="C17">
        <f>C16*$C$15</f>
        <v>25.500000000000004</v>
      </c>
      <c r="D17">
        <f t="shared" ref="D17:P17" si="1">D16*$C$15</f>
        <v>28.900000000000002</v>
      </c>
      <c r="E17">
        <f t="shared" si="1"/>
        <v>25.500000000000004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186.83</v>
      </c>
      <c r="J17">
        <f t="shared" si="1"/>
        <v>475.15000000000003</v>
      </c>
      <c r="K17">
        <f t="shared" si="1"/>
        <v>135.15</v>
      </c>
      <c r="L17">
        <f t="shared" si="1"/>
        <v>135.15</v>
      </c>
      <c r="M17">
        <f t="shared" si="1"/>
        <v>254.83</v>
      </c>
      <c r="N17">
        <f t="shared" si="1"/>
        <v>152.15</v>
      </c>
      <c r="O17">
        <f t="shared" si="1"/>
        <v>62.900000000000006</v>
      </c>
      <c r="P17">
        <f t="shared" si="1"/>
        <v>0</v>
      </c>
      <c r="Q17" s="11">
        <f t="shared" ref="Q17:Q20" si="2">SUM(C17:P17)</f>
        <v>1482.0600000000002</v>
      </c>
      <c r="R17" s="11"/>
    </row>
    <row r="18" spans="1:22" x14ac:dyDescent="0.3">
      <c r="B18" s="10" t="s">
        <v>94</v>
      </c>
      <c r="C18" s="17">
        <v>0.15</v>
      </c>
    </row>
    <row r="19" spans="1:22" x14ac:dyDescent="0.3">
      <c r="B19" s="10" t="s">
        <v>123</v>
      </c>
      <c r="C19" s="6">
        <f>C16*$C$18</f>
        <v>22.5</v>
      </c>
      <c r="D19" s="6">
        <f t="shared" ref="D19:P19" si="3">D16*$C$18</f>
        <v>25.5</v>
      </c>
      <c r="E19" s="6">
        <f t="shared" si="3"/>
        <v>22.5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164.85</v>
      </c>
      <c r="J19" s="6">
        <f t="shared" si="3"/>
        <v>419.25</v>
      </c>
      <c r="K19" s="6">
        <f t="shared" si="3"/>
        <v>119.25</v>
      </c>
      <c r="L19" s="6">
        <f t="shared" si="3"/>
        <v>119.25</v>
      </c>
      <c r="M19" s="6">
        <f t="shared" si="3"/>
        <v>224.85</v>
      </c>
      <c r="N19" s="6">
        <f t="shared" si="3"/>
        <v>134.25</v>
      </c>
      <c r="O19" s="6">
        <f t="shared" si="3"/>
        <v>55.5</v>
      </c>
      <c r="P19" s="6">
        <f t="shared" si="3"/>
        <v>0</v>
      </c>
      <c r="Q19" s="11">
        <f t="shared" si="2"/>
        <v>1307.7</v>
      </c>
      <c r="R19" s="11"/>
    </row>
    <row r="20" spans="1:22" x14ac:dyDescent="0.3">
      <c r="B20" s="10" t="s">
        <v>124</v>
      </c>
      <c r="C20" s="12">
        <f>C16+C17-C19</f>
        <v>153</v>
      </c>
      <c r="D20" s="12">
        <f t="shared" ref="D20:P20" si="4">D16+D17-D19</f>
        <v>173.4</v>
      </c>
      <c r="E20" s="12">
        <f t="shared" si="4"/>
        <v>153</v>
      </c>
      <c r="F20" s="12">
        <f t="shared" si="4"/>
        <v>0</v>
      </c>
      <c r="G20" s="12">
        <f t="shared" si="4"/>
        <v>0</v>
      </c>
      <c r="H20" s="12">
        <f t="shared" si="4"/>
        <v>0</v>
      </c>
      <c r="I20" s="12">
        <f t="shared" si="4"/>
        <v>1120.98</v>
      </c>
      <c r="J20" s="12">
        <f t="shared" si="4"/>
        <v>2850.9</v>
      </c>
      <c r="K20" s="12">
        <f t="shared" si="4"/>
        <v>810.9</v>
      </c>
      <c r="L20" s="12">
        <f t="shared" si="4"/>
        <v>810.9</v>
      </c>
      <c r="M20" s="12">
        <f t="shared" si="4"/>
        <v>1528.98</v>
      </c>
      <c r="N20" s="12">
        <f t="shared" si="4"/>
        <v>912.90000000000009</v>
      </c>
      <c r="O20" s="12">
        <f t="shared" si="4"/>
        <v>377.4</v>
      </c>
      <c r="P20" s="12">
        <f t="shared" si="4"/>
        <v>0</v>
      </c>
      <c r="Q20" s="11">
        <f t="shared" si="2"/>
        <v>8892.3599999999988</v>
      </c>
      <c r="R20" s="11"/>
    </row>
    <row r="22" spans="1:22" x14ac:dyDescent="0.3">
      <c r="C22" s="60" t="s">
        <v>22</v>
      </c>
      <c r="D22" s="60"/>
      <c r="E22" s="60"/>
      <c r="F22" s="28"/>
      <c r="G22" s="28"/>
      <c r="H22" s="28"/>
      <c r="I22" s="61" t="s">
        <v>23</v>
      </c>
      <c r="J22" s="61"/>
      <c r="K22" s="61"/>
      <c r="L22" s="61"/>
      <c r="M22" s="61"/>
      <c r="N22" s="61"/>
      <c r="O22" s="61"/>
      <c r="P22" s="25"/>
    </row>
    <row r="23" spans="1:22" ht="43.2" x14ac:dyDescent="0.3">
      <c r="B23" s="1" t="s">
        <v>25</v>
      </c>
      <c r="C23" s="1" t="s">
        <v>10</v>
      </c>
      <c r="D23" s="1" t="s">
        <v>11</v>
      </c>
      <c r="E23" s="1" t="s">
        <v>114</v>
      </c>
      <c r="F23" s="1" t="s">
        <v>49</v>
      </c>
      <c r="G23" s="1" t="s">
        <v>41</v>
      </c>
      <c r="H23" s="1" t="s">
        <v>40</v>
      </c>
      <c r="I23" s="1" t="s">
        <v>115</v>
      </c>
      <c r="J23" s="1" t="s">
        <v>116</v>
      </c>
      <c r="K23" s="1" t="s">
        <v>117</v>
      </c>
      <c r="L23" s="1" t="s">
        <v>106</v>
      </c>
      <c r="M23" s="1" t="s">
        <v>118</v>
      </c>
      <c r="N23" s="1" t="s">
        <v>119</v>
      </c>
      <c r="O23" s="1" t="s">
        <v>120</v>
      </c>
      <c r="P23" s="1" t="s">
        <v>58</v>
      </c>
      <c r="Q23" s="3" t="s">
        <v>26</v>
      </c>
      <c r="R23" s="3" t="s">
        <v>59</v>
      </c>
      <c r="S23" s="1" t="s">
        <v>122</v>
      </c>
      <c r="T23" s="8" t="s">
        <v>34</v>
      </c>
      <c r="U23" s="1" t="s">
        <v>35</v>
      </c>
      <c r="V23" s="1" t="s">
        <v>36</v>
      </c>
    </row>
    <row r="24" spans="1:22" x14ac:dyDescent="0.3">
      <c r="A24" s="62" t="s">
        <v>24</v>
      </c>
      <c r="B24" t="s">
        <v>1</v>
      </c>
      <c r="C24" s="6">
        <f>C3*C$20</f>
        <v>153</v>
      </c>
      <c r="D24" s="6">
        <f t="shared" ref="D24:O24" si="5">D3*D$20</f>
        <v>0</v>
      </c>
      <c r="E24" s="6">
        <f t="shared" si="5"/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1528.98</v>
      </c>
      <c r="N24" s="6">
        <f t="shared" si="5"/>
        <v>0</v>
      </c>
      <c r="O24" s="6">
        <f t="shared" si="5"/>
        <v>0</v>
      </c>
      <c r="P24" s="6"/>
      <c r="Q24" s="7">
        <f>SUM(Table1322[[#This Row],[Coke]:[Column4]])</f>
        <v>1681.98</v>
      </c>
      <c r="R24" s="7">
        <f t="shared" ref="R24:R31" si="6">150/8</f>
        <v>18.75</v>
      </c>
      <c r="S24" s="6">
        <f>$Q$32/8</f>
        <v>156.82500000000002</v>
      </c>
      <c r="T24" s="7">
        <f>SUM(Table1322[[#This Row],[Total]:[Sharing Sitara Total]])</f>
        <v>1857.5550000000001</v>
      </c>
      <c r="U24">
        <v>1858</v>
      </c>
    </row>
    <row r="25" spans="1:22" x14ac:dyDescent="0.3">
      <c r="A25" s="62"/>
      <c r="B25" t="s">
        <v>9</v>
      </c>
      <c r="C25" s="6">
        <f t="shared" ref="C25:O25" si="7">C4*C$20</f>
        <v>0</v>
      </c>
      <c r="D25" s="6">
        <f t="shared" si="7"/>
        <v>0</v>
      </c>
      <c r="E25" s="6">
        <f t="shared" si="7"/>
        <v>0</v>
      </c>
      <c r="F25" s="6">
        <f t="shared" si="7"/>
        <v>0</v>
      </c>
      <c r="G25" s="6">
        <f t="shared" si="7"/>
        <v>0</v>
      </c>
      <c r="H25" s="6">
        <f t="shared" si="7"/>
        <v>0</v>
      </c>
      <c r="I25" s="6">
        <f t="shared" si="7"/>
        <v>0</v>
      </c>
      <c r="J25" s="6">
        <f t="shared" si="7"/>
        <v>1781.8125</v>
      </c>
      <c r="K25" s="6">
        <f t="shared" si="7"/>
        <v>0</v>
      </c>
      <c r="L25" s="6">
        <f t="shared" si="7"/>
        <v>0</v>
      </c>
      <c r="M25" s="6">
        <f t="shared" si="7"/>
        <v>0</v>
      </c>
      <c r="N25" s="6">
        <f t="shared" si="7"/>
        <v>0</v>
      </c>
      <c r="O25" s="6">
        <f t="shared" si="7"/>
        <v>0</v>
      </c>
      <c r="P25" s="6"/>
      <c r="Q25" s="7">
        <f>SUM(Table1322[[#This Row],[Coke]:[Column4]])</f>
        <v>1781.8125</v>
      </c>
      <c r="R25" s="7">
        <f t="shared" si="6"/>
        <v>18.75</v>
      </c>
      <c r="S25" s="6">
        <f t="shared" ref="S25:S31" si="8">$Q$32/8</f>
        <v>156.82500000000002</v>
      </c>
      <c r="T25" s="7">
        <f>SUM(Table1322[[#This Row],[Total]:[Sharing Sitara Total]])</f>
        <v>1957.3875</v>
      </c>
    </row>
    <row r="26" spans="1:22" x14ac:dyDescent="0.3">
      <c r="A26" s="62"/>
      <c r="B26" t="s">
        <v>6</v>
      </c>
      <c r="C26" s="6">
        <f t="shared" ref="C26:O26" si="9">C5*C$20</f>
        <v>0</v>
      </c>
      <c r="D26" s="6">
        <f t="shared" si="9"/>
        <v>173.4</v>
      </c>
      <c r="E26" s="6">
        <f t="shared" si="9"/>
        <v>0</v>
      </c>
      <c r="F26" s="6">
        <f t="shared" si="9"/>
        <v>0</v>
      </c>
      <c r="G26" s="6">
        <f t="shared" si="9"/>
        <v>0</v>
      </c>
      <c r="H26" s="6">
        <f t="shared" si="9"/>
        <v>0</v>
      </c>
      <c r="I26" s="6">
        <f t="shared" si="9"/>
        <v>0</v>
      </c>
      <c r="J26" s="6">
        <f t="shared" si="9"/>
        <v>0</v>
      </c>
      <c r="K26" s="6">
        <f t="shared" si="9"/>
        <v>0</v>
      </c>
      <c r="L26" s="6">
        <f t="shared" si="9"/>
        <v>810.9</v>
      </c>
      <c r="M26" s="6">
        <f t="shared" si="9"/>
        <v>0</v>
      </c>
      <c r="N26" s="6">
        <f t="shared" si="9"/>
        <v>0</v>
      </c>
      <c r="O26" s="6">
        <f t="shared" si="9"/>
        <v>0</v>
      </c>
      <c r="P26" s="6">
        <f>P5*P$20</f>
        <v>0</v>
      </c>
      <c r="Q26" s="7">
        <f>SUM(Table1322[[#This Row],[Coke]:[Column4]])</f>
        <v>984.3</v>
      </c>
      <c r="R26" s="7">
        <f t="shared" si="6"/>
        <v>18.75</v>
      </c>
      <c r="S26" s="6">
        <f t="shared" si="8"/>
        <v>156.82500000000002</v>
      </c>
      <c r="T26" s="7">
        <f>SUM(Table1322[[#This Row],[Total]:[Sharing Sitara Total]])</f>
        <v>1159.875</v>
      </c>
    </row>
    <row r="27" spans="1:22" x14ac:dyDescent="0.3">
      <c r="A27" s="62"/>
      <c r="B27" t="s">
        <v>7</v>
      </c>
      <c r="C27" s="6">
        <f t="shared" ref="C27:O27" si="10">C6*C$20</f>
        <v>0</v>
      </c>
      <c r="D27" s="6">
        <f t="shared" si="10"/>
        <v>173.4</v>
      </c>
      <c r="E27" s="6">
        <f t="shared" si="10"/>
        <v>0</v>
      </c>
      <c r="F27" s="6">
        <f t="shared" si="10"/>
        <v>0</v>
      </c>
      <c r="G27" s="6">
        <f t="shared" si="10"/>
        <v>0</v>
      </c>
      <c r="H27" s="6">
        <f t="shared" si="10"/>
        <v>0</v>
      </c>
      <c r="I27" s="6">
        <f t="shared" si="10"/>
        <v>560.49</v>
      </c>
      <c r="J27" s="6">
        <f t="shared" si="10"/>
        <v>0</v>
      </c>
      <c r="K27" s="6">
        <f t="shared" si="10"/>
        <v>0</v>
      </c>
      <c r="L27" s="6">
        <f t="shared" si="10"/>
        <v>405.45</v>
      </c>
      <c r="M27" s="6">
        <f t="shared" si="10"/>
        <v>0</v>
      </c>
      <c r="N27" s="6">
        <f t="shared" si="10"/>
        <v>0</v>
      </c>
      <c r="O27" s="6">
        <f t="shared" si="10"/>
        <v>0</v>
      </c>
      <c r="P27" s="6"/>
      <c r="Q27" s="7">
        <f>SUM(Table1322[[#This Row],[Coke]:[Column4]])</f>
        <v>1139.3399999999999</v>
      </c>
      <c r="R27" s="7">
        <f t="shared" si="6"/>
        <v>18.75</v>
      </c>
      <c r="S27" s="6">
        <f t="shared" si="8"/>
        <v>156.82500000000002</v>
      </c>
      <c r="T27" s="7">
        <f>SUM(Table1322[[#This Row],[Total]:[Sharing Sitara Total]])</f>
        <v>1314.915</v>
      </c>
      <c r="U27">
        <v>1315</v>
      </c>
    </row>
    <row r="28" spans="1:22" x14ac:dyDescent="0.3">
      <c r="A28" s="62"/>
      <c r="B28" t="s">
        <v>113</v>
      </c>
      <c r="C28" s="6">
        <f t="shared" ref="C28:O28" si="11">C7*C$20</f>
        <v>153</v>
      </c>
      <c r="D28" s="6">
        <f t="shared" si="11"/>
        <v>0</v>
      </c>
      <c r="E28" s="6">
        <f t="shared" si="11"/>
        <v>0</v>
      </c>
      <c r="F28" s="6">
        <f t="shared" si="11"/>
        <v>0</v>
      </c>
      <c r="G28" s="6">
        <f t="shared" si="11"/>
        <v>0</v>
      </c>
      <c r="H28" s="6">
        <f t="shared" si="11"/>
        <v>0</v>
      </c>
      <c r="I28" s="6">
        <f t="shared" si="11"/>
        <v>560.49</v>
      </c>
      <c r="J28" s="6">
        <f t="shared" si="11"/>
        <v>0</v>
      </c>
      <c r="K28" s="6">
        <f t="shared" si="11"/>
        <v>0</v>
      </c>
      <c r="L28" s="6">
        <f t="shared" si="11"/>
        <v>405.45</v>
      </c>
      <c r="M28" s="6">
        <f t="shared" si="11"/>
        <v>0</v>
      </c>
      <c r="N28" s="6">
        <f t="shared" si="11"/>
        <v>0</v>
      </c>
      <c r="O28" s="6">
        <f t="shared" si="11"/>
        <v>0</v>
      </c>
      <c r="P28" s="6"/>
      <c r="Q28" s="7">
        <f>SUM(Table1322[[#This Row],[Coke]:[Column4]])</f>
        <v>1118.94</v>
      </c>
      <c r="R28" s="7">
        <f t="shared" si="6"/>
        <v>18.75</v>
      </c>
      <c r="S28" s="6">
        <f t="shared" si="8"/>
        <v>156.82500000000002</v>
      </c>
      <c r="T28" s="7">
        <f>SUM(Table1322[[#This Row],[Total]:[Sharing Sitara Total]])</f>
        <v>1294.5150000000001</v>
      </c>
      <c r="U28">
        <v>1295</v>
      </c>
    </row>
    <row r="29" spans="1:22" x14ac:dyDescent="0.3">
      <c r="A29" s="62"/>
      <c r="B29" t="s">
        <v>99</v>
      </c>
      <c r="C29" s="6">
        <f t="shared" ref="C29:O29" si="12">C8*C$20</f>
        <v>0</v>
      </c>
      <c r="D29" s="6">
        <f t="shared" si="12"/>
        <v>0</v>
      </c>
      <c r="E29" s="6">
        <f t="shared" si="12"/>
        <v>0</v>
      </c>
      <c r="F29" s="6">
        <f t="shared" si="12"/>
        <v>0</v>
      </c>
      <c r="G29" s="6">
        <f t="shared" si="12"/>
        <v>0</v>
      </c>
      <c r="H29" s="6">
        <f t="shared" si="12"/>
        <v>0</v>
      </c>
      <c r="I29" s="6">
        <f t="shared" si="12"/>
        <v>0</v>
      </c>
      <c r="J29" s="6">
        <f t="shared" si="12"/>
        <v>1069.0875000000001</v>
      </c>
      <c r="K29" s="6">
        <f t="shared" si="12"/>
        <v>0</v>
      </c>
      <c r="L29" s="6">
        <f t="shared" si="12"/>
        <v>0</v>
      </c>
      <c r="M29" s="6">
        <f t="shared" si="12"/>
        <v>0</v>
      </c>
      <c r="N29" s="6">
        <f t="shared" si="12"/>
        <v>0</v>
      </c>
      <c r="O29" s="6">
        <f t="shared" si="12"/>
        <v>0</v>
      </c>
      <c r="P29" s="6">
        <f>P8*P$20</f>
        <v>0</v>
      </c>
      <c r="Q29" s="7">
        <f>SUM(Table1322[[#This Row],[Coke]:[Column4]])</f>
        <v>1069.0875000000001</v>
      </c>
      <c r="R29" s="7">
        <f t="shared" si="6"/>
        <v>18.75</v>
      </c>
      <c r="S29" s="6">
        <f t="shared" si="8"/>
        <v>156.82500000000002</v>
      </c>
      <c r="T29" s="7">
        <f>SUM(Table1322[[#This Row],[Total]:[Sharing Sitara Total]])</f>
        <v>1244.6625000000001</v>
      </c>
    </row>
    <row r="30" spans="1:22" x14ac:dyDescent="0.3">
      <c r="A30" s="62"/>
      <c r="B30" t="s">
        <v>90</v>
      </c>
      <c r="C30" s="6">
        <f t="shared" ref="C30:O30" si="13">C9*C$20</f>
        <v>0</v>
      </c>
      <c r="D30" s="6">
        <f t="shared" si="13"/>
        <v>0</v>
      </c>
      <c r="E30" s="6">
        <f t="shared" si="13"/>
        <v>0</v>
      </c>
      <c r="F30" s="6">
        <f t="shared" si="13"/>
        <v>0</v>
      </c>
      <c r="G30" s="6">
        <f t="shared" si="13"/>
        <v>0</v>
      </c>
      <c r="H30" s="6">
        <f t="shared" si="13"/>
        <v>0</v>
      </c>
      <c r="I30" s="6">
        <f t="shared" si="13"/>
        <v>0</v>
      </c>
      <c r="J30" s="6">
        <f t="shared" si="13"/>
        <v>0</v>
      </c>
      <c r="K30" s="6">
        <f t="shared" si="13"/>
        <v>810.9</v>
      </c>
      <c r="L30" s="6">
        <f t="shared" si="13"/>
        <v>0</v>
      </c>
      <c r="M30" s="6">
        <f t="shared" si="13"/>
        <v>0</v>
      </c>
      <c r="N30" s="6">
        <f t="shared" si="13"/>
        <v>0</v>
      </c>
      <c r="O30" s="6">
        <f t="shared" si="13"/>
        <v>188.7</v>
      </c>
      <c r="P30" s="6"/>
      <c r="Q30" s="7">
        <f>SUM(Table1322[[#This Row],[Coke]:[Column4]])</f>
        <v>999.59999999999991</v>
      </c>
      <c r="R30" s="7">
        <f t="shared" si="6"/>
        <v>18.75</v>
      </c>
      <c r="S30" s="6">
        <f t="shared" si="8"/>
        <v>156.82500000000002</v>
      </c>
      <c r="T30" s="7">
        <f>SUM(Table1322[[#This Row],[Total]:[Sharing Sitara Total]])</f>
        <v>1175.175</v>
      </c>
      <c r="U30">
        <v>1175</v>
      </c>
    </row>
    <row r="31" spans="1:22" x14ac:dyDescent="0.3">
      <c r="A31" s="62"/>
      <c r="B31" t="s">
        <v>74</v>
      </c>
      <c r="C31" s="6">
        <f t="shared" ref="C31:O31" si="14">C10*C$20</f>
        <v>0</v>
      </c>
      <c r="D31" s="6">
        <f t="shared" si="14"/>
        <v>0</v>
      </c>
      <c r="E31" s="6">
        <f t="shared" si="14"/>
        <v>0</v>
      </c>
      <c r="F31" s="6">
        <f t="shared" si="14"/>
        <v>0</v>
      </c>
      <c r="G31" s="6">
        <f t="shared" si="14"/>
        <v>0</v>
      </c>
      <c r="H31" s="6">
        <f t="shared" si="14"/>
        <v>0</v>
      </c>
      <c r="I31" s="6">
        <f t="shared" si="14"/>
        <v>0</v>
      </c>
      <c r="J31" s="6">
        <f t="shared" si="14"/>
        <v>0</v>
      </c>
      <c r="K31" s="6">
        <f t="shared" si="14"/>
        <v>810.9</v>
      </c>
      <c r="L31" s="6">
        <f t="shared" si="14"/>
        <v>0</v>
      </c>
      <c r="M31" s="6">
        <f t="shared" si="14"/>
        <v>0</v>
      </c>
      <c r="N31" s="6">
        <f t="shared" si="14"/>
        <v>0</v>
      </c>
      <c r="O31" s="6">
        <f t="shared" si="14"/>
        <v>0</v>
      </c>
      <c r="P31" s="6">
        <f>P10*P$20</f>
        <v>0</v>
      </c>
      <c r="Q31" s="7">
        <f>SUM(Table1322[[#This Row],[Coke]:[Column4]])</f>
        <v>810.9</v>
      </c>
      <c r="R31" s="7">
        <f t="shared" si="6"/>
        <v>18.75</v>
      </c>
      <c r="S31" s="6">
        <f t="shared" si="8"/>
        <v>156.82500000000002</v>
      </c>
      <c r="T31" s="7">
        <f>SUM(Table1322[[#This Row],[Total]:[Sharing Sitara Total]])</f>
        <v>986.47500000000002</v>
      </c>
    </row>
    <row r="32" spans="1:22" x14ac:dyDescent="0.3">
      <c r="A32" s="62"/>
      <c r="B32" t="s">
        <v>89</v>
      </c>
      <c r="C32" s="6">
        <f t="shared" ref="C32:O32" si="15">C11*C$20</f>
        <v>0</v>
      </c>
      <c r="D32" s="6">
        <f t="shared" si="15"/>
        <v>0</v>
      </c>
      <c r="E32" s="6">
        <f t="shared" si="15"/>
        <v>153</v>
      </c>
      <c r="F32" s="6">
        <f t="shared" si="15"/>
        <v>0</v>
      </c>
      <c r="G32" s="6">
        <f t="shared" si="15"/>
        <v>0</v>
      </c>
      <c r="H32" s="6">
        <f t="shared" si="15"/>
        <v>0</v>
      </c>
      <c r="I32" s="6">
        <f t="shared" si="15"/>
        <v>0</v>
      </c>
      <c r="J32" s="6">
        <f t="shared" si="15"/>
        <v>0</v>
      </c>
      <c r="K32" s="6">
        <f t="shared" si="15"/>
        <v>0</v>
      </c>
      <c r="L32" s="6">
        <f t="shared" si="15"/>
        <v>0</v>
      </c>
      <c r="M32" s="6">
        <f t="shared" si="15"/>
        <v>0</v>
      </c>
      <c r="N32" s="6">
        <f t="shared" si="15"/>
        <v>912.90000000000009</v>
      </c>
      <c r="O32" s="6">
        <f t="shared" si="15"/>
        <v>188.7</v>
      </c>
      <c r="P32" s="6"/>
      <c r="Q32" s="7">
        <f>SUM(Table1322[[#This Row],[Coke]:[Column4]])</f>
        <v>1254.6000000000001</v>
      </c>
      <c r="R32" s="7"/>
      <c r="S32" s="6">
        <f t="shared" ref="S32:S33" si="16">$Q$33/9</f>
        <v>0</v>
      </c>
      <c r="T32" s="7"/>
    </row>
    <row r="33" spans="1:21" x14ac:dyDescent="0.3">
      <c r="A33" s="62"/>
      <c r="C33" s="6">
        <f t="shared" ref="C33:O33" si="17">C12*C$20</f>
        <v>0</v>
      </c>
      <c r="D33" s="6">
        <f t="shared" si="17"/>
        <v>0</v>
      </c>
      <c r="E33" s="6">
        <f t="shared" si="17"/>
        <v>0</v>
      </c>
      <c r="F33" s="6">
        <f t="shared" si="17"/>
        <v>0</v>
      </c>
      <c r="G33" s="6">
        <f t="shared" si="17"/>
        <v>0</v>
      </c>
      <c r="H33" s="6">
        <f t="shared" si="17"/>
        <v>0</v>
      </c>
      <c r="I33" s="6">
        <f t="shared" si="17"/>
        <v>0</v>
      </c>
      <c r="J33" s="6">
        <f t="shared" si="17"/>
        <v>0</v>
      </c>
      <c r="K33" s="6">
        <f t="shared" si="17"/>
        <v>0</v>
      </c>
      <c r="L33" s="6">
        <f t="shared" si="17"/>
        <v>0</v>
      </c>
      <c r="M33" s="6">
        <f t="shared" si="17"/>
        <v>0</v>
      </c>
      <c r="N33" s="6">
        <f t="shared" si="17"/>
        <v>0</v>
      </c>
      <c r="O33" s="6">
        <f t="shared" si="17"/>
        <v>0</v>
      </c>
      <c r="P33" s="6">
        <f>P12*P$20</f>
        <v>0</v>
      </c>
      <c r="Q33" s="7">
        <f>SUM(Table1322[[#This Row],[Coke]:[Column4]])</f>
        <v>0</v>
      </c>
      <c r="R33" s="7"/>
      <c r="S33" s="6">
        <f t="shared" si="16"/>
        <v>0</v>
      </c>
      <c r="T33" s="7"/>
    </row>
    <row r="34" spans="1:21" x14ac:dyDescent="0.3">
      <c r="B34" s="2" t="s">
        <v>26</v>
      </c>
      <c r="C34" s="2">
        <f>SUM(C24:C33)</f>
        <v>306</v>
      </c>
      <c r="D34" s="2">
        <f t="shared" ref="D34:P34" si="18">SUM(D24:D33)</f>
        <v>346.8</v>
      </c>
      <c r="E34" s="2">
        <f t="shared" si="18"/>
        <v>153</v>
      </c>
      <c r="F34" s="2">
        <f t="shared" si="18"/>
        <v>0</v>
      </c>
      <c r="G34" s="2">
        <f t="shared" si="18"/>
        <v>0</v>
      </c>
      <c r="H34" s="2">
        <f t="shared" si="18"/>
        <v>0</v>
      </c>
      <c r="I34" s="2">
        <f t="shared" si="18"/>
        <v>1120.98</v>
      </c>
      <c r="J34" s="2">
        <f t="shared" si="18"/>
        <v>2850.9</v>
      </c>
      <c r="K34" s="2">
        <f t="shared" si="18"/>
        <v>1621.8</v>
      </c>
      <c r="L34" s="2">
        <f t="shared" si="18"/>
        <v>1621.8</v>
      </c>
      <c r="M34" s="2">
        <f t="shared" si="18"/>
        <v>1528.98</v>
      </c>
      <c r="N34" s="2">
        <f t="shared" si="18"/>
        <v>912.90000000000009</v>
      </c>
      <c r="O34" s="2">
        <f t="shared" si="18"/>
        <v>377.4</v>
      </c>
      <c r="P34" s="2">
        <f t="shared" si="18"/>
        <v>0</v>
      </c>
      <c r="Q34" s="7">
        <f>SUM(Table1322[[#This Row],[Coke]:[Column4]])</f>
        <v>10840.56</v>
      </c>
      <c r="R34" s="7"/>
      <c r="S34" s="6"/>
      <c r="T34" s="9">
        <f t="shared" ref="T34:U34" si="19">SUM(T24:T33)</f>
        <v>10990.56</v>
      </c>
      <c r="U34" s="9">
        <f t="shared" si="19"/>
        <v>5643</v>
      </c>
    </row>
  </sheetData>
  <mergeCells count="6">
    <mergeCell ref="A3:A12"/>
    <mergeCell ref="A24:A33"/>
    <mergeCell ref="C1:E1"/>
    <mergeCell ref="C22:E22"/>
    <mergeCell ref="I22:O22"/>
    <mergeCell ref="I1:O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A13" sqref="A13:J18"/>
    </sheetView>
  </sheetViews>
  <sheetFormatPr defaultRowHeight="14.4" x14ac:dyDescent="0.3"/>
  <cols>
    <col min="2" max="2" width="16.109375" bestFit="1" customWidth="1"/>
    <col min="3" max="3" width="13.5546875" bestFit="1" customWidth="1"/>
    <col min="6" max="6" width="13.5546875" bestFit="1" customWidth="1"/>
    <col min="8" max="8" width="9.109375" customWidth="1"/>
    <col min="12" max="13" width="13.5546875" bestFit="1" customWidth="1"/>
    <col min="16" max="16" width="0" hidden="1" customWidth="1"/>
  </cols>
  <sheetData>
    <row r="1" spans="1:10" x14ac:dyDescent="0.3">
      <c r="C1" s="61" t="s">
        <v>23</v>
      </c>
      <c r="D1" s="61"/>
      <c r="E1" s="61"/>
      <c r="F1" s="60" t="s">
        <v>22</v>
      </c>
      <c r="G1" s="60"/>
    </row>
    <row r="2" spans="1:10" ht="29.4" thickBot="1" x14ac:dyDescent="0.35">
      <c r="B2" s="1" t="s">
        <v>25</v>
      </c>
      <c r="C2" s="1" t="s">
        <v>264</v>
      </c>
      <c r="D2" s="1" t="s">
        <v>259</v>
      </c>
      <c r="E2" s="1" t="s">
        <v>265</v>
      </c>
      <c r="F2" s="1" t="s">
        <v>266</v>
      </c>
      <c r="G2" s="3" t="s">
        <v>267</v>
      </c>
      <c r="H2" s="16" t="s">
        <v>26</v>
      </c>
    </row>
    <row r="3" spans="1:10" x14ac:dyDescent="0.3">
      <c r="A3" s="62" t="s">
        <v>24</v>
      </c>
      <c r="B3" t="s">
        <v>126</v>
      </c>
      <c r="C3" s="6">
        <v>0.5</v>
      </c>
      <c r="D3" s="6"/>
      <c r="E3" s="6">
        <v>0.5</v>
      </c>
      <c r="F3" s="6"/>
      <c r="G3" s="6">
        <v>1</v>
      </c>
      <c r="H3" s="55">
        <f>SUM(Table1212327444648[[#This Row],[Tarragon Chicken]:[Crunch Sandwich]])</f>
        <v>1</v>
      </c>
    </row>
    <row r="4" spans="1:10" x14ac:dyDescent="0.3">
      <c r="A4" s="62"/>
      <c r="B4" s="29" t="s">
        <v>9</v>
      </c>
      <c r="C4" s="29"/>
      <c r="D4" s="29">
        <v>1</v>
      </c>
      <c r="E4" s="29"/>
      <c r="F4" s="6"/>
      <c r="G4" s="6"/>
      <c r="H4" s="58">
        <f>SUM(Table1212327444648[[#This Row],[Tarragon Chicken]:[Crunch Sandwich]])</f>
        <v>1</v>
      </c>
    </row>
    <row r="5" spans="1:10" x14ac:dyDescent="0.3">
      <c r="A5" s="62"/>
      <c r="B5" t="s">
        <v>180</v>
      </c>
      <c r="C5" s="6"/>
      <c r="D5" s="6">
        <v>1</v>
      </c>
      <c r="E5" s="6"/>
      <c r="F5" s="6">
        <v>1</v>
      </c>
      <c r="G5" s="6"/>
      <c r="H5" s="55">
        <f>SUM(Table1212327444648[[#This Row],[Tarragon Chicken]:[Crunch Sandwich]])</f>
        <v>1</v>
      </c>
    </row>
    <row r="6" spans="1:10" x14ac:dyDescent="0.3">
      <c r="A6" s="62"/>
      <c r="B6" t="s">
        <v>7</v>
      </c>
      <c r="C6" s="6">
        <v>0.5</v>
      </c>
      <c r="D6" s="6"/>
      <c r="E6" s="6">
        <v>0.5</v>
      </c>
      <c r="F6" s="6">
        <v>1</v>
      </c>
      <c r="G6" s="6"/>
      <c r="H6" s="56">
        <f>SUM(Table1212327444648[[#This Row],[Tarragon Chicken]:[Crunch Sandwich]])</f>
        <v>1</v>
      </c>
    </row>
    <row r="7" spans="1:10" x14ac:dyDescent="0.3">
      <c r="B7" s="2" t="s">
        <v>26</v>
      </c>
      <c r="C7" s="2">
        <f>SUM(C3:C6)</f>
        <v>1</v>
      </c>
      <c r="D7" s="2">
        <f>SUM(D3:D6)</f>
        <v>2</v>
      </c>
      <c r="E7" s="2">
        <f>SUM(E3:E6)</f>
        <v>1</v>
      </c>
      <c r="F7" s="2">
        <f t="shared" ref="F7:G7" si="0">SUM(F3:F6)</f>
        <v>2</v>
      </c>
      <c r="G7" s="2">
        <f t="shared" si="0"/>
        <v>1</v>
      </c>
      <c r="H7" s="55">
        <f>SUM(Table1212327444648[[#This Row],[Tarragon Chicken]:[Crunch Sandwich]])</f>
        <v>4</v>
      </c>
    </row>
    <row r="9" spans="1:10" x14ac:dyDescent="0.3">
      <c r="B9" s="10" t="s">
        <v>30</v>
      </c>
      <c r="C9" s="11">
        <v>1390</v>
      </c>
      <c r="D9" s="11">
        <v>790</v>
      </c>
      <c r="E9" s="11">
        <v>790</v>
      </c>
      <c r="F9" s="11">
        <v>495</v>
      </c>
      <c r="G9" s="11">
        <v>495</v>
      </c>
    </row>
    <row r="10" spans="1:10" x14ac:dyDescent="0.3">
      <c r="B10" s="10" t="s">
        <v>94</v>
      </c>
      <c r="C10" s="6">
        <v>1580</v>
      </c>
    </row>
    <row r="11" spans="1:10" x14ac:dyDescent="0.3">
      <c r="B11" s="10" t="s">
        <v>261</v>
      </c>
      <c r="C11" s="6">
        <f>3700-3665</f>
        <v>35</v>
      </c>
    </row>
    <row r="12" spans="1:10" x14ac:dyDescent="0.3">
      <c r="C12" s="61" t="s">
        <v>23</v>
      </c>
      <c r="D12" s="61"/>
      <c r="E12" s="61"/>
      <c r="F12" s="60" t="s">
        <v>22</v>
      </c>
      <c r="G12" s="60"/>
    </row>
    <row r="13" spans="1:10" ht="43.2" x14ac:dyDescent="0.3">
      <c r="B13" s="1" t="s">
        <v>25</v>
      </c>
      <c r="C13" s="1" t="s">
        <v>264</v>
      </c>
      <c r="D13" s="1" t="s">
        <v>259</v>
      </c>
      <c r="E13" s="1" t="s">
        <v>265</v>
      </c>
      <c r="F13" s="1" t="s">
        <v>266</v>
      </c>
      <c r="G13" s="3" t="s">
        <v>267</v>
      </c>
      <c r="H13" s="1" t="s">
        <v>94</v>
      </c>
      <c r="I13" s="1" t="s">
        <v>175</v>
      </c>
      <c r="J13" s="8" t="s">
        <v>263</v>
      </c>
    </row>
    <row r="14" spans="1:10" x14ac:dyDescent="0.3">
      <c r="A14" s="62" t="s">
        <v>24</v>
      </c>
      <c r="B14" t="s">
        <v>126</v>
      </c>
      <c r="C14" s="26">
        <f>C3*C$9</f>
        <v>695</v>
      </c>
      <c r="D14" s="26"/>
      <c r="E14" s="26">
        <f t="shared" ref="E14:G14" si="1">E3*E$9</f>
        <v>395</v>
      </c>
      <c r="F14" s="26"/>
      <c r="G14" s="26">
        <f t="shared" si="1"/>
        <v>495</v>
      </c>
      <c r="H14">
        <f t="shared" ref="H14:H18" si="2">$C$10/4</f>
        <v>395</v>
      </c>
      <c r="I14" s="26">
        <f t="shared" ref="I14:I18" si="3">$C$11/4</f>
        <v>8.75</v>
      </c>
      <c r="J14" s="27">
        <f>SUM(Table13222428454749[[#This Row],[Tarragon Chicken]:[Orange Colada]])-Table13222428454749[[#This Row],[Discount]]+Table13222428454749[[#This Row],[TIP]]</f>
        <v>1198.75</v>
      </c>
    </row>
    <row r="15" spans="1:10" x14ac:dyDescent="0.3">
      <c r="A15" s="62"/>
      <c r="B15" s="29" t="s">
        <v>9</v>
      </c>
      <c r="C15" s="26"/>
      <c r="D15" s="26">
        <f t="shared" ref="C15:F17" si="4">D4*D$9</f>
        <v>790</v>
      </c>
      <c r="E15" s="26"/>
      <c r="F15" s="26"/>
      <c r="G15" s="26"/>
      <c r="H15" s="57">
        <f t="shared" si="2"/>
        <v>395</v>
      </c>
      <c r="I15" s="57">
        <f t="shared" si="3"/>
        <v>8.75</v>
      </c>
      <c r="J15" s="27">
        <f>SUM(Table13222428454749[[#This Row],[Tarragon Chicken]:[Orange Colada]])-Table13222428454749[[#This Row],[Discount]]+Table13222428454749[[#This Row],[TIP]]</f>
        <v>403.75</v>
      </c>
    </row>
    <row r="16" spans="1:10" x14ac:dyDescent="0.3">
      <c r="A16" s="62"/>
      <c r="B16" t="s">
        <v>180</v>
      </c>
      <c r="C16" s="26"/>
      <c r="D16" s="26">
        <f t="shared" si="4"/>
        <v>790</v>
      </c>
      <c r="E16" s="26"/>
      <c r="F16" s="26">
        <f t="shared" si="4"/>
        <v>495</v>
      </c>
      <c r="G16" s="26"/>
      <c r="H16">
        <f t="shared" si="2"/>
        <v>395</v>
      </c>
      <c r="I16" s="26">
        <f t="shared" si="3"/>
        <v>8.75</v>
      </c>
      <c r="J16" s="27">
        <f>SUM(Table13222428454749[[#This Row],[Tarragon Chicken]:[Orange Colada]])-Table13222428454749[[#This Row],[Discount]]+Table13222428454749[[#This Row],[TIP]]</f>
        <v>898.75</v>
      </c>
    </row>
    <row r="17" spans="1:10" x14ac:dyDescent="0.3">
      <c r="A17" s="62"/>
      <c r="B17" t="s">
        <v>7</v>
      </c>
      <c r="C17" s="26">
        <f t="shared" si="4"/>
        <v>695</v>
      </c>
      <c r="D17" s="26"/>
      <c r="E17" s="26">
        <f t="shared" si="4"/>
        <v>395</v>
      </c>
      <c r="F17" s="26">
        <f t="shared" si="4"/>
        <v>495</v>
      </c>
      <c r="G17" s="26"/>
      <c r="H17">
        <f t="shared" si="2"/>
        <v>395</v>
      </c>
      <c r="I17" s="26">
        <f t="shared" si="3"/>
        <v>8.75</v>
      </c>
      <c r="J17" s="27">
        <f>SUM(Table13222428454749[[#This Row],[Tarragon Chicken]:[Orange Colada]])-Table13222428454749[[#This Row],[Discount]]+Table13222428454749[[#This Row],[TIP]]</f>
        <v>1198.75</v>
      </c>
    </row>
    <row r="18" spans="1:10" x14ac:dyDescent="0.3">
      <c r="B18" s="2" t="s">
        <v>26</v>
      </c>
      <c r="C18" s="2">
        <f>SUM(C14:C17)</f>
        <v>1390</v>
      </c>
      <c r="D18" s="2">
        <f>SUM(D14:D17)</f>
        <v>1580</v>
      </c>
      <c r="E18" s="2">
        <f>SUM(E14:E17)</f>
        <v>790</v>
      </c>
      <c r="F18" s="2">
        <f>SUM(Table13222428454749[[#This Row],[Tarragon Chicken]:[Crunch Sandwich]])</f>
        <v>3760</v>
      </c>
      <c r="G18" s="2">
        <f>SUM(G14:G17)</f>
        <v>495</v>
      </c>
      <c r="H18" s="2">
        <f t="shared" si="2"/>
        <v>395</v>
      </c>
      <c r="I18" s="2">
        <f t="shared" si="3"/>
        <v>8.75</v>
      </c>
      <c r="J18" s="9">
        <f>SUM(J14:J17)</f>
        <v>3700</v>
      </c>
    </row>
  </sheetData>
  <mergeCells count="6">
    <mergeCell ref="C1:E1"/>
    <mergeCell ref="A3:A6"/>
    <mergeCell ref="A14:A17"/>
    <mergeCell ref="F1:G1"/>
    <mergeCell ref="C12:E12"/>
    <mergeCell ref="F12:G12"/>
  </mergeCells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topLeftCell="A6" workbookViewId="0">
      <selection sqref="A1:Q29"/>
    </sheetView>
  </sheetViews>
  <sheetFormatPr defaultRowHeight="14.4" x14ac:dyDescent="0.3"/>
  <cols>
    <col min="2" max="2" width="9.44140625" customWidth="1"/>
    <col min="5" max="5" width="9.33203125" customWidth="1"/>
    <col min="10" max="10" width="0.44140625" hidden="1" customWidth="1"/>
    <col min="11" max="11" width="0.109375" hidden="1" customWidth="1"/>
    <col min="12" max="12" width="0.88671875" hidden="1" customWidth="1"/>
    <col min="13" max="14" width="0.5546875" hidden="1" customWidth="1"/>
    <col min="15" max="16" width="0.33203125" hidden="1" customWidth="1"/>
  </cols>
  <sheetData>
    <row r="1" spans="1:17" x14ac:dyDescent="0.3">
      <c r="C1" s="60" t="s">
        <v>22</v>
      </c>
      <c r="D1" s="60"/>
      <c r="E1" s="61" t="s">
        <v>23</v>
      </c>
      <c r="F1" s="61"/>
      <c r="G1" s="61"/>
      <c r="H1" s="61"/>
      <c r="I1" s="61"/>
      <c r="J1" s="25"/>
      <c r="K1" s="25"/>
      <c r="L1" s="25"/>
      <c r="M1" s="25"/>
      <c r="N1" s="25"/>
      <c r="O1" s="25"/>
      <c r="P1" s="25"/>
    </row>
    <row r="2" spans="1:17" ht="100.8" x14ac:dyDescent="0.3">
      <c r="B2" s="1" t="s">
        <v>25</v>
      </c>
      <c r="C2" s="1" t="s">
        <v>83</v>
      </c>
      <c r="D2" s="1" t="s">
        <v>84</v>
      </c>
      <c r="E2" s="1" t="s">
        <v>85</v>
      </c>
      <c r="F2" s="1" t="s">
        <v>82</v>
      </c>
      <c r="G2" s="1" t="s">
        <v>86</v>
      </c>
      <c r="H2" s="1" t="s">
        <v>87</v>
      </c>
      <c r="I2" s="1" t="s">
        <v>88</v>
      </c>
      <c r="J2" s="1" t="s">
        <v>58</v>
      </c>
      <c r="K2" s="1" t="s">
        <v>59</v>
      </c>
      <c r="L2" s="1" t="s">
        <v>60</v>
      </c>
      <c r="M2" s="1" t="s">
        <v>63</v>
      </c>
      <c r="N2" s="1" t="s">
        <v>40</v>
      </c>
      <c r="O2" s="1" t="s">
        <v>41</v>
      </c>
      <c r="P2" s="1" t="s">
        <v>49</v>
      </c>
      <c r="Q2" s="3" t="s">
        <v>26</v>
      </c>
    </row>
    <row r="3" spans="1:17" x14ac:dyDescent="0.3">
      <c r="A3" s="62" t="s">
        <v>24</v>
      </c>
      <c r="B3" t="s">
        <v>9</v>
      </c>
      <c r="C3">
        <v>1</v>
      </c>
      <c r="E3" s="6">
        <v>0.2</v>
      </c>
      <c r="F3" s="6">
        <v>0.5</v>
      </c>
      <c r="Q3" s="2">
        <f>SUM(Table1412[[#This Row],[Fanta]:[Column3]])</f>
        <v>1.7</v>
      </c>
    </row>
    <row r="4" spans="1:17" x14ac:dyDescent="0.3">
      <c r="A4" s="62"/>
      <c r="B4" t="s">
        <v>81</v>
      </c>
      <c r="C4">
        <v>1</v>
      </c>
      <c r="E4" s="6">
        <v>0.2</v>
      </c>
      <c r="G4">
        <v>1</v>
      </c>
      <c r="Q4" s="2">
        <f>SUM(Table1412[[#This Row],[Fanta]:[Column3]])</f>
        <v>2.2000000000000002</v>
      </c>
    </row>
    <row r="5" spans="1:17" x14ac:dyDescent="0.3">
      <c r="A5" s="62"/>
      <c r="B5" t="s">
        <v>64</v>
      </c>
      <c r="C5">
        <v>1</v>
      </c>
      <c r="E5" s="6">
        <v>0.2</v>
      </c>
      <c r="F5" s="6">
        <v>0.5</v>
      </c>
      <c r="Q5" s="2">
        <f>SUM(Table1412[[#This Row],[Fanta]:[Column3]])</f>
        <v>1.7</v>
      </c>
    </row>
    <row r="6" spans="1:17" x14ac:dyDescent="0.3">
      <c r="A6" s="62"/>
      <c r="B6" t="s">
        <v>74</v>
      </c>
      <c r="D6">
        <v>1</v>
      </c>
      <c r="E6" s="6">
        <v>0.2</v>
      </c>
      <c r="H6">
        <v>1</v>
      </c>
      <c r="N6" s="4"/>
      <c r="Q6" s="2">
        <f>SUM(Table1412[[#This Row],[Fanta]:[Column3]])</f>
        <v>2.2000000000000002</v>
      </c>
    </row>
    <row r="7" spans="1:17" x14ac:dyDescent="0.3">
      <c r="A7" s="62"/>
      <c r="B7" t="s">
        <v>7</v>
      </c>
      <c r="D7">
        <v>1</v>
      </c>
      <c r="E7" s="6">
        <v>0.2</v>
      </c>
      <c r="I7">
        <v>1</v>
      </c>
      <c r="Q7" s="2">
        <f>SUM(Table1412[[#This Row],[Fanta]:[Column3]])</f>
        <v>2.2000000000000002</v>
      </c>
    </row>
    <row r="8" spans="1:17" x14ac:dyDescent="0.3">
      <c r="A8" s="62"/>
      <c r="Q8" s="2">
        <f>SUM(Table1412[[#This Row],[Fanta]:[Column3]])</f>
        <v>0</v>
      </c>
    </row>
    <row r="9" spans="1:17" x14ac:dyDescent="0.3">
      <c r="A9" s="62"/>
      <c r="Q9" s="2">
        <f>SUM(Table1412[[#This Row],[Fanta]:[Column3]])</f>
        <v>0</v>
      </c>
    </row>
    <row r="10" spans="1:17" x14ac:dyDescent="0.3">
      <c r="A10" s="62"/>
      <c r="Q10" s="2"/>
    </row>
    <row r="11" spans="1:17" x14ac:dyDescent="0.3">
      <c r="A11" s="62"/>
      <c r="K11" s="4"/>
      <c r="Q11" s="2"/>
    </row>
    <row r="12" spans="1:17" x14ac:dyDescent="0.3">
      <c r="A12" s="62"/>
      <c r="Q12" s="2"/>
    </row>
    <row r="13" spans="1:17" x14ac:dyDescent="0.3">
      <c r="B13" s="2" t="s">
        <v>26</v>
      </c>
      <c r="C13" s="2">
        <f>SUM(C3:C12)</f>
        <v>3</v>
      </c>
      <c r="D13" s="2">
        <f t="shared" ref="D13:I13" si="0">SUM(D3:D12)</f>
        <v>2</v>
      </c>
      <c r="E13" s="2">
        <f t="shared" si="0"/>
        <v>1</v>
      </c>
      <c r="F13" s="2">
        <f t="shared" si="0"/>
        <v>1</v>
      </c>
      <c r="G13" s="2">
        <f t="shared" si="0"/>
        <v>1</v>
      </c>
      <c r="H13" s="2">
        <f t="shared" si="0"/>
        <v>1</v>
      </c>
      <c r="I13" s="2">
        <f t="shared" si="0"/>
        <v>1</v>
      </c>
      <c r="J13" s="2"/>
      <c r="K13" s="2"/>
      <c r="L13" s="2"/>
      <c r="M13" s="2"/>
      <c r="N13" s="2"/>
      <c r="O13" s="2"/>
      <c r="P13" s="2"/>
      <c r="Q13" s="2">
        <f>SUM(Table1412[[#This Row],[Fanta]:[Column3]])</f>
        <v>10</v>
      </c>
    </row>
    <row r="15" spans="1:17" x14ac:dyDescent="0.3">
      <c r="B15" s="10" t="s">
        <v>29</v>
      </c>
      <c r="C15" s="5">
        <v>0.17</v>
      </c>
    </row>
    <row r="16" spans="1:17" x14ac:dyDescent="0.3">
      <c r="B16" s="10" t="s">
        <v>30</v>
      </c>
      <c r="C16" s="11">
        <v>180</v>
      </c>
      <c r="D16" s="11">
        <v>230</v>
      </c>
      <c r="E16" s="11">
        <f>470+160</f>
        <v>630</v>
      </c>
      <c r="F16" s="11">
        <v>2090</v>
      </c>
      <c r="G16" s="11">
        <v>1410</v>
      </c>
      <c r="H16" s="11">
        <v>1340</v>
      </c>
      <c r="I16" s="11">
        <v>520</v>
      </c>
      <c r="J16" s="11"/>
      <c r="K16" s="11"/>
      <c r="L16" s="11"/>
      <c r="M16" s="11"/>
      <c r="N16" s="11"/>
      <c r="O16" s="11"/>
      <c r="P16" s="11"/>
      <c r="Q16" s="11">
        <f>SUM(C16:P16)</f>
        <v>6400</v>
      </c>
    </row>
    <row r="17" spans="1:17" x14ac:dyDescent="0.3">
      <c r="B17" s="10" t="s">
        <v>31</v>
      </c>
      <c r="C17">
        <f t="shared" ref="C17:Q17" si="1">C16*$C$15</f>
        <v>30.6</v>
      </c>
      <c r="D17">
        <f t="shared" si="1"/>
        <v>39.1</v>
      </c>
      <c r="E17">
        <f t="shared" si="1"/>
        <v>107.10000000000001</v>
      </c>
      <c r="F17">
        <f t="shared" si="1"/>
        <v>355.3</v>
      </c>
      <c r="G17">
        <f t="shared" si="1"/>
        <v>239.70000000000002</v>
      </c>
      <c r="H17">
        <f t="shared" si="1"/>
        <v>227.8</v>
      </c>
      <c r="I17">
        <f t="shared" si="1"/>
        <v>88.4</v>
      </c>
      <c r="Q17">
        <f t="shared" si="1"/>
        <v>1088</v>
      </c>
    </row>
    <row r="18" spans="1:17" x14ac:dyDescent="0.3">
      <c r="B18" s="10" t="s">
        <v>32</v>
      </c>
      <c r="C18" s="12">
        <f>SUM(C16:C17)</f>
        <v>210.6</v>
      </c>
      <c r="D18" s="12">
        <f t="shared" ref="D18:Q18" si="2">SUM(D16:D17)</f>
        <v>269.10000000000002</v>
      </c>
      <c r="E18" s="12">
        <f t="shared" si="2"/>
        <v>737.1</v>
      </c>
      <c r="F18" s="12">
        <f t="shared" si="2"/>
        <v>2445.3000000000002</v>
      </c>
      <c r="G18" s="12">
        <f t="shared" si="2"/>
        <v>1649.7</v>
      </c>
      <c r="H18" s="12">
        <f t="shared" si="2"/>
        <v>1567.8</v>
      </c>
      <c r="I18" s="12">
        <f t="shared" si="2"/>
        <v>608.4</v>
      </c>
      <c r="J18" s="12"/>
      <c r="K18" s="12"/>
      <c r="L18" s="12"/>
      <c r="M18" s="12"/>
      <c r="N18" s="12"/>
      <c r="O18" s="12"/>
      <c r="P18" s="12"/>
      <c r="Q18" s="12">
        <f t="shared" si="2"/>
        <v>7488</v>
      </c>
    </row>
    <row r="20" spans="1:17" x14ac:dyDescent="0.3">
      <c r="C20" s="60" t="s">
        <v>22</v>
      </c>
      <c r="D20" s="60"/>
      <c r="E20" s="61" t="s">
        <v>23</v>
      </c>
      <c r="F20" s="61"/>
      <c r="G20" s="61"/>
      <c r="H20" s="61"/>
      <c r="I20" s="61"/>
      <c r="J20" s="25"/>
      <c r="K20" s="25"/>
      <c r="L20" s="25"/>
      <c r="M20" s="25"/>
      <c r="N20" s="25"/>
      <c r="O20" s="25"/>
      <c r="P20" s="25"/>
    </row>
    <row r="21" spans="1:17" ht="100.8" x14ac:dyDescent="0.3">
      <c r="B21" s="1" t="s">
        <v>25</v>
      </c>
      <c r="C21" s="1" t="s">
        <v>83</v>
      </c>
      <c r="D21" s="1" t="s">
        <v>84</v>
      </c>
      <c r="E21" s="1" t="s">
        <v>85</v>
      </c>
      <c r="F21" s="1" t="s">
        <v>82</v>
      </c>
      <c r="G21" s="1" t="s">
        <v>86</v>
      </c>
      <c r="H21" s="1" t="s">
        <v>87</v>
      </c>
      <c r="I21" s="1" t="s">
        <v>88</v>
      </c>
      <c r="J21" s="1" t="s">
        <v>58</v>
      </c>
      <c r="K21" s="1" t="s">
        <v>59</v>
      </c>
      <c r="L21" s="1" t="s">
        <v>60</v>
      </c>
      <c r="M21" s="1" t="s">
        <v>63</v>
      </c>
      <c r="N21" s="1" t="s">
        <v>40</v>
      </c>
      <c r="O21" s="1" t="s">
        <v>41</v>
      </c>
      <c r="P21" s="1" t="s">
        <v>49</v>
      </c>
      <c r="Q21" s="3" t="s">
        <v>26</v>
      </c>
    </row>
    <row r="22" spans="1:17" x14ac:dyDescent="0.3">
      <c r="A22" s="62" t="s">
        <v>24</v>
      </c>
      <c r="B22" t="s">
        <v>9</v>
      </c>
      <c r="C22">
        <f>C3*C$18</f>
        <v>210.6</v>
      </c>
      <c r="D22">
        <f t="shared" ref="D22:I22" si="3">D3*D$18</f>
        <v>0</v>
      </c>
      <c r="E22">
        <f t="shared" si="3"/>
        <v>147.42000000000002</v>
      </c>
      <c r="F22">
        <f t="shared" si="3"/>
        <v>1222.6500000000001</v>
      </c>
      <c r="G22">
        <f t="shared" si="3"/>
        <v>0</v>
      </c>
      <c r="H22">
        <f t="shared" si="3"/>
        <v>0</v>
      </c>
      <c r="I22">
        <f t="shared" si="3"/>
        <v>0</v>
      </c>
      <c r="Q22" s="2">
        <f>SUM(Table13513[[#This Row],[Fanta]:[Column3]])</f>
        <v>1580.67</v>
      </c>
    </row>
    <row r="23" spans="1:17" x14ac:dyDescent="0.3">
      <c r="A23" s="62"/>
      <c r="B23" t="s">
        <v>81</v>
      </c>
      <c r="C23">
        <f>C4*C$18</f>
        <v>210.6</v>
      </c>
      <c r="D23">
        <f t="shared" ref="D23:I23" si="4">D4*D$18</f>
        <v>0</v>
      </c>
      <c r="E23">
        <f t="shared" si="4"/>
        <v>147.42000000000002</v>
      </c>
      <c r="F23">
        <f t="shared" si="4"/>
        <v>0</v>
      </c>
      <c r="G23">
        <f t="shared" si="4"/>
        <v>1649.7</v>
      </c>
      <c r="H23">
        <f t="shared" si="4"/>
        <v>0</v>
      </c>
      <c r="I23">
        <f t="shared" si="4"/>
        <v>0</v>
      </c>
      <c r="Q23" s="2">
        <f>SUM(Table13513[[#This Row],[Fanta]:[Column3]])</f>
        <v>2007.72</v>
      </c>
    </row>
    <row r="24" spans="1:17" x14ac:dyDescent="0.3">
      <c r="A24" s="62"/>
      <c r="B24" t="s">
        <v>64</v>
      </c>
      <c r="C24">
        <f t="shared" ref="C24:I24" si="5">C5*C$18</f>
        <v>210.6</v>
      </c>
      <c r="D24">
        <f t="shared" si="5"/>
        <v>0</v>
      </c>
      <c r="E24">
        <f t="shared" si="5"/>
        <v>147.42000000000002</v>
      </c>
      <c r="F24">
        <f t="shared" si="5"/>
        <v>1222.6500000000001</v>
      </c>
      <c r="G24">
        <f t="shared" si="5"/>
        <v>0</v>
      </c>
      <c r="H24">
        <f t="shared" si="5"/>
        <v>0</v>
      </c>
      <c r="I24">
        <f t="shared" si="5"/>
        <v>0</v>
      </c>
      <c r="Q24" s="2">
        <f>SUM(Table13513[[#This Row],[Fanta]:[Column3]])</f>
        <v>1580.67</v>
      </c>
    </row>
    <row r="25" spans="1:17" x14ac:dyDescent="0.3">
      <c r="A25" s="62"/>
      <c r="B25" t="s">
        <v>74</v>
      </c>
      <c r="C25">
        <f t="shared" ref="C25:I25" si="6">C6*C$18</f>
        <v>0</v>
      </c>
      <c r="D25">
        <f t="shared" si="6"/>
        <v>269.10000000000002</v>
      </c>
      <c r="E25">
        <f t="shared" si="6"/>
        <v>147.42000000000002</v>
      </c>
      <c r="F25">
        <f t="shared" si="6"/>
        <v>0</v>
      </c>
      <c r="G25">
        <f t="shared" si="6"/>
        <v>0</v>
      </c>
      <c r="H25">
        <f t="shared" si="6"/>
        <v>1567.8</v>
      </c>
      <c r="I25">
        <f t="shared" si="6"/>
        <v>0</v>
      </c>
      <c r="N25" s="4"/>
      <c r="Q25" s="2">
        <f>SUM(Table13513[[#This Row],[Fanta]:[Column3]])</f>
        <v>1984.32</v>
      </c>
    </row>
    <row r="26" spans="1:17" x14ac:dyDescent="0.3">
      <c r="A26" s="62"/>
      <c r="B26" t="s">
        <v>7</v>
      </c>
      <c r="C26">
        <f t="shared" ref="C26:I26" si="7">C7*C$18</f>
        <v>0</v>
      </c>
      <c r="D26">
        <f t="shared" si="7"/>
        <v>269.10000000000002</v>
      </c>
      <c r="E26">
        <f t="shared" si="7"/>
        <v>147.42000000000002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608.4</v>
      </c>
      <c r="Q26" s="2">
        <f>SUM(Table13513[[#This Row],[Fanta]:[Column3]])</f>
        <v>1024.92</v>
      </c>
    </row>
    <row r="27" spans="1:17" x14ac:dyDescent="0.3">
      <c r="A27" s="62"/>
      <c r="C27">
        <f t="shared" ref="C27:I27" si="8">C8*C$18</f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Q27" s="2">
        <f>SUM(Table13513[[#This Row],[Fanta]:[Column3]])</f>
        <v>0</v>
      </c>
    </row>
    <row r="28" spans="1:17" x14ac:dyDescent="0.3">
      <c r="A28" s="62"/>
      <c r="C28">
        <f t="shared" ref="C28:I28" si="9">C9*C$18</f>
        <v>0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Q28" s="2">
        <f>SUM(Table13513[[#This Row],[Fanta]:[Column3]])</f>
        <v>0</v>
      </c>
    </row>
    <row r="29" spans="1:17" x14ac:dyDescent="0.3">
      <c r="B29" s="2" t="s">
        <v>26</v>
      </c>
      <c r="C29" s="2">
        <f t="shared" ref="C29:Q29" si="10">SUM(C22:C28)</f>
        <v>631.79999999999995</v>
      </c>
      <c r="D29" s="2">
        <f t="shared" si="10"/>
        <v>538.20000000000005</v>
      </c>
      <c r="E29" s="2"/>
      <c r="F29" s="2"/>
      <c r="G29" s="2"/>
      <c r="H29" s="2"/>
      <c r="I29" s="2">
        <f t="shared" si="10"/>
        <v>608.4</v>
      </c>
      <c r="J29" s="2"/>
      <c r="K29" s="2"/>
      <c r="L29" s="2"/>
      <c r="M29" s="2"/>
      <c r="N29" s="2"/>
      <c r="O29" s="2"/>
      <c r="P29" s="2"/>
      <c r="Q29" s="13">
        <f t="shared" si="10"/>
        <v>8178.3</v>
      </c>
    </row>
  </sheetData>
  <mergeCells count="6">
    <mergeCell ref="E20:I20"/>
    <mergeCell ref="A3:A12"/>
    <mergeCell ref="A22:A28"/>
    <mergeCell ref="C1:D1"/>
    <mergeCell ref="C20:D20"/>
    <mergeCell ref="E1:I1"/>
  </mergeCells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8"/>
  <sheetViews>
    <sheetView workbookViewId="0">
      <selection activeCell="R29" sqref="R29"/>
    </sheetView>
  </sheetViews>
  <sheetFormatPr defaultRowHeight="14.4" x14ac:dyDescent="0.3"/>
  <sheetData>
    <row r="1" spans="1:17" x14ac:dyDescent="0.3">
      <c r="C1" s="60" t="s">
        <v>22</v>
      </c>
      <c r="D1" s="60"/>
      <c r="E1" s="61" t="s">
        <v>23</v>
      </c>
      <c r="F1" s="61"/>
      <c r="G1" s="61"/>
      <c r="H1" s="61"/>
      <c r="I1" s="61"/>
      <c r="J1" s="25"/>
      <c r="K1" s="25"/>
      <c r="L1" s="25"/>
      <c r="M1" s="25"/>
      <c r="N1" s="25"/>
      <c r="O1" s="25"/>
      <c r="P1" s="25"/>
    </row>
    <row r="2" spans="1:17" ht="28.8" x14ac:dyDescent="0.3">
      <c r="B2" s="1" t="s">
        <v>25</v>
      </c>
      <c r="C2" s="1" t="s">
        <v>42</v>
      </c>
      <c r="D2" s="1" t="s">
        <v>43</v>
      </c>
      <c r="E2" s="1" t="s">
        <v>141</v>
      </c>
      <c r="F2" s="1" t="s">
        <v>142</v>
      </c>
      <c r="G2" s="1" t="s">
        <v>143</v>
      </c>
      <c r="H2" s="1" t="s">
        <v>144</v>
      </c>
      <c r="I2" s="1" t="s">
        <v>145</v>
      </c>
      <c r="J2" s="1" t="s">
        <v>146</v>
      </c>
      <c r="K2" s="1" t="s">
        <v>147</v>
      </c>
      <c r="L2" s="1" t="s">
        <v>148</v>
      </c>
      <c r="M2" s="1" t="s">
        <v>149</v>
      </c>
      <c r="N2" s="1" t="s">
        <v>150</v>
      </c>
      <c r="O2" s="1" t="s">
        <v>151</v>
      </c>
      <c r="P2" s="1" t="s">
        <v>152</v>
      </c>
      <c r="Q2" s="3" t="s">
        <v>26</v>
      </c>
    </row>
    <row r="3" spans="1:17" x14ac:dyDescent="0.3">
      <c r="A3" s="62" t="s">
        <v>24</v>
      </c>
      <c r="B3" t="s">
        <v>139</v>
      </c>
      <c r="C3" s="6"/>
      <c r="D3" s="6"/>
      <c r="E3" s="6"/>
      <c r="F3" s="6"/>
      <c r="G3" s="6">
        <v>1</v>
      </c>
      <c r="H3" s="6"/>
      <c r="I3" s="6"/>
      <c r="J3" s="6"/>
      <c r="K3" s="6"/>
      <c r="L3" s="6"/>
      <c r="M3" s="6"/>
      <c r="N3" s="6"/>
      <c r="O3" s="6"/>
      <c r="P3" s="6"/>
      <c r="Q3" s="2">
        <f>SUM(Table141225[[#This Row],[-]:[-11]])</f>
        <v>1</v>
      </c>
    </row>
    <row r="4" spans="1:17" x14ac:dyDescent="0.3">
      <c r="A4" s="62"/>
      <c r="B4" t="s">
        <v>81</v>
      </c>
      <c r="C4" s="6"/>
      <c r="D4" s="6"/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">
        <f>SUM(Table141225[[#This Row],[-]:[-11]])</f>
        <v>1</v>
      </c>
    </row>
    <row r="5" spans="1:17" x14ac:dyDescent="0.3">
      <c r="A5" s="62"/>
      <c r="B5" t="s">
        <v>64</v>
      </c>
      <c r="C5" s="6"/>
      <c r="D5" s="6"/>
      <c r="E5" s="6"/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2">
        <f>SUM(Table141225[[#This Row],[-]:[-11]])</f>
        <v>1</v>
      </c>
    </row>
    <row r="6" spans="1:17" x14ac:dyDescent="0.3">
      <c r="A6" s="62"/>
      <c r="B6" t="s">
        <v>1</v>
      </c>
      <c r="C6" s="6"/>
      <c r="D6" s="6"/>
      <c r="E6" s="6"/>
      <c r="F6" s="6">
        <v>1</v>
      </c>
      <c r="G6" s="6"/>
      <c r="H6" s="6"/>
      <c r="I6" s="6"/>
      <c r="J6" s="6"/>
      <c r="K6" s="6"/>
      <c r="L6" s="6"/>
      <c r="M6" s="6"/>
      <c r="N6" s="29"/>
      <c r="O6" s="6"/>
      <c r="P6" s="6"/>
      <c r="Q6" s="2">
        <f>SUM(Table141225[[#This Row],[-]:[-11]])</f>
        <v>1</v>
      </c>
    </row>
    <row r="7" spans="1:17" x14ac:dyDescent="0.3">
      <c r="A7" s="62"/>
      <c r="B7" t="s">
        <v>7</v>
      </c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>SUM(Table141225[[#This Row],[-]:[-11]])</f>
        <v>1</v>
      </c>
    </row>
    <row r="8" spans="1:17" x14ac:dyDescent="0.3">
      <c r="A8" s="62"/>
      <c r="B8" t="s">
        <v>140</v>
      </c>
      <c r="C8" s="6"/>
      <c r="D8" s="6"/>
      <c r="E8" s="6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>SUM(Table141225[[#This Row],[-]:[-11]])</f>
        <v>1</v>
      </c>
    </row>
    <row r="9" spans="1:17" x14ac:dyDescent="0.3">
      <c r="A9" s="6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>SUM(Table141225[[#This Row],[-]:[-11]])</f>
        <v>0</v>
      </c>
    </row>
    <row r="10" spans="1:17" x14ac:dyDescent="0.3">
      <c r="A10" s="6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/>
    </row>
    <row r="11" spans="1:17" x14ac:dyDescent="0.3">
      <c r="A11" s="62"/>
      <c r="C11" s="6"/>
      <c r="D11" s="6"/>
      <c r="E11" s="6"/>
      <c r="F11" s="6"/>
      <c r="G11" s="6"/>
      <c r="H11" s="6"/>
      <c r="I11" s="6"/>
      <c r="J11" s="6"/>
      <c r="K11" s="29"/>
      <c r="L11" s="6"/>
      <c r="M11" s="6"/>
      <c r="N11" s="6"/>
      <c r="O11" s="6"/>
      <c r="P11" s="6"/>
      <c r="Q11" s="2"/>
    </row>
    <row r="12" spans="1:17" x14ac:dyDescent="0.3">
      <c r="A12" s="6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/>
    </row>
    <row r="13" spans="1:17" x14ac:dyDescent="0.3">
      <c r="B13" s="2" t="s">
        <v>26</v>
      </c>
      <c r="C13" s="2">
        <f>SUM(C3:C12)</f>
        <v>0</v>
      </c>
      <c r="D13" s="2">
        <f t="shared" ref="D13:I13" si="0">SUM(D3:D12)</f>
        <v>0</v>
      </c>
      <c r="E13" s="2">
        <f t="shared" si="0"/>
        <v>3</v>
      </c>
      <c r="F13" s="2">
        <f t="shared" si="0"/>
        <v>2</v>
      </c>
      <c r="G13" s="2">
        <f t="shared" si="0"/>
        <v>1</v>
      </c>
      <c r="H13" s="2">
        <f t="shared" si="0"/>
        <v>0</v>
      </c>
      <c r="I13" s="2">
        <f t="shared" si="0"/>
        <v>0</v>
      </c>
      <c r="J13" s="2"/>
      <c r="K13" s="2"/>
      <c r="L13" s="2"/>
      <c r="M13" s="2"/>
      <c r="N13" s="2"/>
      <c r="O13" s="2"/>
      <c r="P13" s="2"/>
      <c r="Q13" s="2">
        <f>SUM(Table141225[[#This Row],[-]:[-11]])</f>
        <v>6</v>
      </c>
    </row>
    <row r="15" spans="1:17" x14ac:dyDescent="0.3">
      <c r="B15" s="10" t="s">
        <v>153</v>
      </c>
      <c r="C15" s="31">
        <v>17</v>
      </c>
    </row>
    <row r="16" spans="1:17" x14ac:dyDescent="0.3">
      <c r="B16" s="10" t="s">
        <v>30</v>
      </c>
      <c r="C16" s="11"/>
      <c r="D16" s="11"/>
      <c r="E16" s="11">
        <v>700</v>
      </c>
      <c r="F16" s="11">
        <v>450</v>
      </c>
      <c r="G16" s="11">
        <v>400</v>
      </c>
      <c r="H16" s="11"/>
      <c r="I16" s="11"/>
      <c r="J16" s="11"/>
      <c r="K16" s="11"/>
      <c r="L16" s="11"/>
      <c r="M16" s="11"/>
      <c r="N16" s="11"/>
      <c r="O16" s="11"/>
      <c r="P16" s="11"/>
      <c r="Q16" s="11">
        <f>SUM(C16:P16)</f>
        <v>1550</v>
      </c>
    </row>
    <row r="17" spans="1:18" x14ac:dyDescent="0.3">
      <c r="B17" s="10" t="s">
        <v>32</v>
      </c>
      <c r="C17" s="12">
        <f>SUM(C16:C16)</f>
        <v>0</v>
      </c>
      <c r="D17" s="12">
        <f>SUM(D16:D16)</f>
        <v>0</v>
      </c>
      <c r="E17" s="12">
        <f>E16+C15</f>
        <v>717</v>
      </c>
      <c r="F17" s="12">
        <f>F16+$C$15</f>
        <v>467</v>
      </c>
      <c r="G17" s="12">
        <f>G16+$C$15</f>
        <v>417</v>
      </c>
      <c r="H17" s="12">
        <f>SUM(H16:H16)</f>
        <v>0</v>
      </c>
      <c r="I17" s="12">
        <f>SUM(I16:I16)</f>
        <v>0</v>
      </c>
      <c r="J17" s="12"/>
      <c r="K17" s="12"/>
      <c r="L17" s="12"/>
      <c r="M17" s="12"/>
      <c r="N17" s="12"/>
      <c r="O17" s="12"/>
      <c r="P17" s="12"/>
      <c r="Q17" s="12">
        <f>SUM(Q16:Q16)</f>
        <v>1550</v>
      </c>
    </row>
    <row r="19" spans="1:18" x14ac:dyDescent="0.3">
      <c r="C19" s="60" t="s">
        <v>22</v>
      </c>
      <c r="D19" s="60"/>
      <c r="E19" s="61" t="s">
        <v>23</v>
      </c>
      <c r="F19" s="61"/>
      <c r="G19" s="61"/>
      <c r="H19" s="61"/>
      <c r="I19" s="61"/>
      <c r="J19" s="25"/>
      <c r="K19" s="25"/>
      <c r="L19" s="25"/>
      <c r="M19" s="25"/>
      <c r="N19" s="25"/>
      <c r="O19" s="25"/>
      <c r="P19" s="25"/>
    </row>
    <row r="20" spans="1:18" ht="28.8" x14ac:dyDescent="0.3">
      <c r="B20" s="1" t="s">
        <v>25</v>
      </c>
      <c r="C20" s="1" t="s">
        <v>42</v>
      </c>
      <c r="D20" s="1" t="s">
        <v>43</v>
      </c>
      <c r="E20" s="1" t="s">
        <v>141</v>
      </c>
      <c r="F20" s="1" t="s">
        <v>142</v>
      </c>
      <c r="G20" s="1" t="s">
        <v>143</v>
      </c>
      <c r="H20" s="1" t="s">
        <v>144</v>
      </c>
      <c r="I20" s="1" t="s">
        <v>145</v>
      </c>
      <c r="J20" s="1" t="s">
        <v>146</v>
      </c>
      <c r="K20" s="1" t="s">
        <v>147</v>
      </c>
      <c r="L20" s="1" t="s">
        <v>148</v>
      </c>
      <c r="M20" s="1" t="s">
        <v>149</v>
      </c>
      <c r="N20" s="1" t="s">
        <v>150</v>
      </c>
      <c r="O20" s="1" t="s">
        <v>151</v>
      </c>
      <c r="P20" s="1" t="s">
        <v>152</v>
      </c>
      <c r="Q20" s="3" t="s">
        <v>26</v>
      </c>
      <c r="R20" s="1" t="s">
        <v>40</v>
      </c>
    </row>
    <row r="21" spans="1:18" x14ac:dyDescent="0.3">
      <c r="A21" s="62" t="s">
        <v>24</v>
      </c>
      <c r="B21" t="s">
        <v>139</v>
      </c>
      <c r="C21">
        <f t="shared" ref="C21:I27" si="1">C3*C$17</f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417</v>
      </c>
      <c r="H21">
        <f t="shared" si="1"/>
        <v>0</v>
      </c>
      <c r="I21">
        <f t="shared" si="1"/>
        <v>0</v>
      </c>
      <c r="Q21" s="2">
        <f>SUM(Table1351326[[#This Row],[-]:[-11]])</f>
        <v>417</v>
      </c>
    </row>
    <row r="22" spans="1:18" x14ac:dyDescent="0.3">
      <c r="A22" s="62"/>
      <c r="B22" t="s">
        <v>81</v>
      </c>
      <c r="C22">
        <f t="shared" si="1"/>
        <v>0</v>
      </c>
      <c r="D22">
        <f t="shared" si="1"/>
        <v>0</v>
      </c>
      <c r="E22">
        <f t="shared" si="1"/>
        <v>717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Q22" s="2">
        <f>SUM(Table1351326[[#This Row],[-]:[-11]])</f>
        <v>717</v>
      </c>
    </row>
    <row r="23" spans="1:18" x14ac:dyDescent="0.3">
      <c r="A23" s="62"/>
      <c r="B23" t="s">
        <v>64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467</v>
      </c>
      <c r="G23">
        <f t="shared" si="1"/>
        <v>0</v>
      </c>
      <c r="H23">
        <f t="shared" si="1"/>
        <v>0</v>
      </c>
      <c r="I23">
        <f t="shared" si="1"/>
        <v>0</v>
      </c>
      <c r="Q23" s="2">
        <f>SUM(Table1351326[[#This Row],[-]:[-11]])</f>
        <v>467</v>
      </c>
    </row>
    <row r="24" spans="1:18" x14ac:dyDescent="0.3">
      <c r="A24" s="62"/>
      <c r="B24" t="s">
        <v>1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467</v>
      </c>
      <c r="G24">
        <f t="shared" si="1"/>
        <v>0</v>
      </c>
      <c r="H24">
        <f t="shared" si="1"/>
        <v>0</v>
      </c>
      <c r="I24">
        <f t="shared" si="1"/>
        <v>0</v>
      </c>
      <c r="N24" s="4"/>
      <c r="Q24" s="2">
        <f>SUM(Table1351326[[#This Row],[-]:[-11]])</f>
        <v>467</v>
      </c>
    </row>
    <row r="25" spans="1:18" x14ac:dyDescent="0.3">
      <c r="A25" s="62"/>
      <c r="B25" t="s">
        <v>7</v>
      </c>
      <c r="C25">
        <f t="shared" si="1"/>
        <v>0</v>
      </c>
      <c r="D25">
        <f t="shared" si="1"/>
        <v>0</v>
      </c>
      <c r="E25">
        <f t="shared" si="1"/>
        <v>717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Q25" s="2">
        <f>SUM(Table1351326[[#This Row],[-]:[-11]])</f>
        <v>717</v>
      </c>
    </row>
    <row r="26" spans="1:18" x14ac:dyDescent="0.3">
      <c r="A26" s="62"/>
      <c r="B26" t="s">
        <v>140</v>
      </c>
      <c r="C26">
        <f t="shared" si="1"/>
        <v>0</v>
      </c>
      <c r="D26">
        <f t="shared" si="1"/>
        <v>0</v>
      </c>
      <c r="E26">
        <f t="shared" si="1"/>
        <v>717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Q26" s="2">
        <f>SUM(Table1351326[[#This Row],[-]:[-11]])</f>
        <v>717</v>
      </c>
      <c r="R26">
        <f>1000-285</f>
        <v>715</v>
      </c>
    </row>
    <row r="27" spans="1:18" x14ac:dyDescent="0.3">
      <c r="A27" s="62"/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Q27" s="2">
        <f>SUM(Table1351326[[#This Row],[-]:[-11]])</f>
        <v>0</v>
      </c>
    </row>
    <row r="28" spans="1:18" x14ac:dyDescent="0.3">
      <c r="B28" s="2" t="s">
        <v>26</v>
      </c>
      <c r="C28" s="2">
        <f t="shared" ref="C28:Q28" si="2">SUM(C21:C27)</f>
        <v>0</v>
      </c>
      <c r="D28" s="2">
        <f t="shared" si="2"/>
        <v>0</v>
      </c>
      <c r="E28" s="2"/>
      <c r="F28" s="2"/>
      <c r="G28" s="2"/>
      <c r="H28" s="2"/>
      <c r="I28" s="2">
        <f t="shared" si="2"/>
        <v>0</v>
      </c>
      <c r="J28" s="2"/>
      <c r="K28" s="2"/>
      <c r="L28" s="2"/>
      <c r="M28" s="2"/>
      <c r="N28" s="2"/>
      <c r="O28" s="2"/>
      <c r="P28" s="2"/>
      <c r="Q28" s="13">
        <f t="shared" si="2"/>
        <v>3502</v>
      </c>
      <c r="R28">
        <f>SUM(R21:R27)</f>
        <v>715</v>
      </c>
    </row>
  </sheetData>
  <mergeCells count="6">
    <mergeCell ref="A21:A27"/>
    <mergeCell ref="C1:D1"/>
    <mergeCell ref="E1:I1"/>
    <mergeCell ref="A3:A12"/>
    <mergeCell ref="C19:D19"/>
    <mergeCell ref="E19:I19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6"/>
  <sheetViews>
    <sheetView workbookViewId="0"/>
  </sheetViews>
  <sheetFormatPr defaultRowHeight="14.4" x14ac:dyDescent="0.3"/>
  <cols>
    <col min="9" max="9" width="9.5546875" bestFit="1" customWidth="1"/>
  </cols>
  <sheetData>
    <row r="1" spans="1:8" x14ac:dyDescent="0.3">
      <c r="C1" s="60" t="s">
        <v>22</v>
      </c>
      <c r="D1" s="60"/>
      <c r="E1" s="61" t="s">
        <v>23</v>
      </c>
      <c r="F1" s="61"/>
      <c r="G1" s="25"/>
    </row>
    <row r="2" spans="1:8" ht="28.8" x14ac:dyDescent="0.3">
      <c r="B2" s="1" t="s">
        <v>25</v>
      </c>
      <c r="C2" s="1" t="s">
        <v>10</v>
      </c>
      <c r="D2" s="1" t="s">
        <v>91</v>
      </c>
      <c r="E2" s="1" t="s">
        <v>92</v>
      </c>
      <c r="F2" s="1" t="s">
        <v>93</v>
      </c>
      <c r="G2" s="3" t="s">
        <v>26</v>
      </c>
    </row>
    <row r="3" spans="1:8" x14ac:dyDescent="0.3">
      <c r="A3" s="62" t="s">
        <v>24</v>
      </c>
      <c r="B3" t="s">
        <v>9</v>
      </c>
      <c r="E3" s="6"/>
      <c r="F3" s="6">
        <v>0.5</v>
      </c>
      <c r="G3" s="2">
        <f>SUM(Table141211[[#This Row],[Coke]:[Hi tea Platter]])</f>
        <v>0.5</v>
      </c>
    </row>
    <row r="4" spans="1:8" x14ac:dyDescent="0.3">
      <c r="A4" s="62"/>
      <c r="B4" t="s">
        <v>4</v>
      </c>
      <c r="E4" s="6"/>
      <c r="F4" s="6">
        <v>0.5</v>
      </c>
      <c r="G4" s="2">
        <f>SUM(Table141211[[#This Row],[Coke]:[Hi tea Platter]])</f>
        <v>0.5</v>
      </c>
    </row>
    <row r="5" spans="1:8" x14ac:dyDescent="0.3">
      <c r="A5" s="62"/>
      <c r="B5" t="s">
        <v>64</v>
      </c>
      <c r="C5">
        <v>1</v>
      </c>
      <c r="E5" s="6"/>
      <c r="F5" s="6">
        <v>0.5</v>
      </c>
      <c r="G5" s="2">
        <f>SUM(Table141211[[#This Row],[Coke]:[Hi tea Platter]])</f>
        <v>1.5</v>
      </c>
    </row>
    <row r="6" spans="1:8" x14ac:dyDescent="0.3">
      <c r="A6" s="62"/>
      <c r="B6" t="s">
        <v>1</v>
      </c>
      <c r="E6" s="6"/>
      <c r="F6" s="6">
        <v>0.5</v>
      </c>
      <c r="G6" s="2">
        <f>SUM(Table141211[[#This Row],[Coke]:[Hi tea Platter]])</f>
        <v>0.5</v>
      </c>
    </row>
    <row r="7" spans="1:8" x14ac:dyDescent="0.3">
      <c r="A7" s="62"/>
      <c r="B7" t="s">
        <v>7</v>
      </c>
      <c r="E7" s="6"/>
      <c r="F7" s="6">
        <v>0.5</v>
      </c>
      <c r="G7" s="2">
        <f>SUM(Table141211[[#This Row],[Coke]:[Hi tea Platter]])</f>
        <v>0.5</v>
      </c>
    </row>
    <row r="8" spans="1:8" x14ac:dyDescent="0.3">
      <c r="A8" s="62"/>
      <c r="B8" t="s">
        <v>89</v>
      </c>
      <c r="D8">
        <v>1</v>
      </c>
      <c r="F8" s="6">
        <v>0.5</v>
      </c>
      <c r="G8" s="2">
        <f>SUM(Table141211[[#This Row],[Coke]:[Hi tea Platter]])</f>
        <v>1.5</v>
      </c>
    </row>
    <row r="9" spans="1:8" x14ac:dyDescent="0.3">
      <c r="A9" s="62"/>
      <c r="B9" t="s">
        <v>90</v>
      </c>
      <c r="E9">
        <v>1</v>
      </c>
      <c r="G9" s="2">
        <f>SUM(Table141211[[#This Row],[Coke]:[Hi tea Platter]])</f>
        <v>1</v>
      </c>
    </row>
    <row r="10" spans="1:8" x14ac:dyDescent="0.3">
      <c r="B10" s="2" t="s">
        <v>26</v>
      </c>
      <c r="C10" s="2">
        <f>SUM(C3:C9)</f>
        <v>1</v>
      </c>
      <c r="D10" s="2">
        <f>SUM(D3:D9)</f>
        <v>1</v>
      </c>
      <c r="E10" s="2">
        <f>SUM(E3:E9)</f>
        <v>1</v>
      </c>
      <c r="F10" s="2">
        <f>SUM(F3:F9)</f>
        <v>3</v>
      </c>
      <c r="G10" s="2">
        <f>SUM(Table141211[[#This Row],[Coke]:[Hi tea Platter]])</f>
        <v>6</v>
      </c>
    </row>
    <row r="12" spans="1:8" x14ac:dyDescent="0.3">
      <c r="B12" s="10" t="s">
        <v>29</v>
      </c>
      <c r="C12" s="5">
        <v>0.17</v>
      </c>
    </row>
    <row r="13" spans="1:8" x14ac:dyDescent="0.3">
      <c r="B13" s="10" t="s">
        <v>30</v>
      </c>
      <c r="C13" s="11">
        <v>90</v>
      </c>
      <c r="D13" s="11">
        <v>100</v>
      </c>
      <c r="E13" s="11">
        <v>1195</v>
      </c>
      <c r="F13" s="11">
        <v>1895</v>
      </c>
      <c r="G13" s="11"/>
      <c r="H13" s="11">
        <f>SUM(C13:G13)</f>
        <v>3280</v>
      </c>
    </row>
    <row r="14" spans="1:8" x14ac:dyDescent="0.3">
      <c r="B14" s="10" t="s">
        <v>31</v>
      </c>
      <c r="C14">
        <f>C13*$C$12</f>
        <v>15.3</v>
      </c>
      <c r="D14">
        <f>D13*$C$12</f>
        <v>17</v>
      </c>
      <c r="E14">
        <f>E13*$C$12</f>
        <v>203.15</v>
      </c>
      <c r="F14">
        <f>F13*$C$12</f>
        <v>322.15000000000003</v>
      </c>
      <c r="H14">
        <f>H13*$C$12</f>
        <v>557.6</v>
      </c>
    </row>
    <row r="15" spans="1:8" x14ac:dyDescent="0.3">
      <c r="B15" s="10" t="s">
        <v>32</v>
      </c>
      <c r="C15" s="12">
        <f>SUM(C13:C14)</f>
        <v>105.3</v>
      </c>
      <c r="D15" s="12">
        <f t="shared" ref="D15:H15" si="0">SUM(D13:D14)</f>
        <v>117</v>
      </c>
      <c r="E15" s="12">
        <f t="shared" si="0"/>
        <v>1398.15</v>
      </c>
      <c r="F15" s="12">
        <f t="shared" si="0"/>
        <v>2217.15</v>
      </c>
      <c r="G15" s="12"/>
      <c r="H15" s="12">
        <f t="shared" si="0"/>
        <v>3837.6</v>
      </c>
    </row>
    <row r="17" spans="1:10" x14ac:dyDescent="0.3">
      <c r="C17" s="60" t="s">
        <v>22</v>
      </c>
      <c r="D17" s="60"/>
      <c r="E17" s="61" t="s">
        <v>23</v>
      </c>
      <c r="F17" s="61"/>
      <c r="G17" s="25"/>
    </row>
    <row r="18" spans="1:10" ht="28.8" x14ac:dyDescent="0.3">
      <c r="B18" s="1" t="s">
        <v>25</v>
      </c>
      <c r="C18" s="1" t="s">
        <v>10</v>
      </c>
      <c r="D18" s="1" t="s">
        <v>91</v>
      </c>
      <c r="E18" s="1" t="s">
        <v>92</v>
      </c>
      <c r="F18" s="1" t="s">
        <v>93</v>
      </c>
      <c r="G18" s="3" t="s">
        <v>26</v>
      </c>
      <c r="H18" s="1" t="s">
        <v>94</v>
      </c>
      <c r="I18" s="1" t="s">
        <v>95</v>
      </c>
      <c r="J18" s="1" t="s">
        <v>35</v>
      </c>
    </row>
    <row r="19" spans="1:10" x14ac:dyDescent="0.3">
      <c r="A19" s="62" t="s">
        <v>24</v>
      </c>
      <c r="B19" t="s">
        <v>9</v>
      </c>
      <c r="C19">
        <f t="shared" ref="C19:F25" si="1">C3*C$15</f>
        <v>0</v>
      </c>
      <c r="D19">
        <f t="shared" si="1"/>
        <v>0</v>
      </c>
      <c r="E19">
        <f t="shared" si="1"/>
        <v>0</v>
      </c>
      <c r="F19">
        <f t="shared" si="1"/>
        <v>1108.575</v>
      </c>
      <c r="G19" s="2">
        <f>SUM(Table1351314[[#This Row],[Coke]:[Hi tea Platter]])</f>
        <v>1108.575</v>
      </c>
      <c r="H19">
        <f>313.65/7</f>
        <v>44.807142857142857</v>
      </c>
      <c r="I19" s="26">
        <f>Table1351314[[#This Row],[Total]]-Table1351314[[#This Row],[Discount]]</f>
        <v>1063.7678571428571</v>
      </c>
      <c r="J19">
        <v>1</v>
      </c>
    </row>
    <row r="20" spans="1:10" x14ac:dyDescent="0.3">
      <c r="A20" s="62"/>
      <c r="B20" t="s">
        <v>4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1108.575</v>
      </c>
      <c r="G20" s="2">
        <f>SUM(Table1351314[[#This Row],[Coke]:[Hi tea Platter]])</f>
        <v>1108.575</v>
      </c>
      <c r="H20">
        <f t="shared" ref="H20:H25" si="2">313.65/7</f>
        <v>44.807142857142857</v>
      </c>
      <c r="I20" s="26">
        <f>Table1351314[[#This Row],[Total]]-Table1351314[[#This Row],[Discount]]</f>
        <v>1063.7678571428571</v>
      </c>
      <c r="J20">
        <v>1</v>
      </c>
    </row>
    <row r="21" spans="1:10" x14ac:dyDescent="0.3">
      <c r="A21" s="62"/>
      <c r="B21" t="s">
        <v>64</v>
      </c>
      <c r="C21">
        <f t="shared" si="1"/>
        <v>105.3</v>
      </c>
      <c r="D21">
        <f t="shared" si="1"/>
        <v>0</v>
      </c>
      <c r="E21">
        <f t="shared" si="1"/>
        <v>0</v>
      </c>
      <c r="F21">
        <f t="shared" si="1"/>
        <v>1108.575</v>
      </c>
      <c r="G21" s="2">
        <f>SUM(Table1351314[[#This Row],[Coke]:[Hi tea Platter]])</f>
        <v>1213.875</v>
      </c>
      <c r="H21">
        <f t="shared" si="2"/>
        <v>44.807142857142857</v>
      </c>
      <c r="I21" s="26">
        <f>Table1351314[[#This Row],[Total]]-Table1351314[[#This Row],[Discount]]</f>
        <v>1169.0678571428571</v>
      </c>
    </row>
    <row r="22" spans="1:10" x14ac:dyDescent="0.3">
      <c r="A22" s="62"/>
      <c r="B22" t="s"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1108.575</v>
      </c>
      <c r="G22" s="2">
        <f>SUM(Table1351314[[#This Row],[Coke]:[Hi tea Platter]])</f>
        <v>1108.575</v>
      </c>
      <c r="H22">
        <f t="shared" si="2"/>
        <v>44.807142857142857</v>
      </c>
      <c r="I22" s="26">
        <f>Table1351314[[#This Row],[Total]]-Table1351314[[#This Row],[Discount]]</f>
        <v>1063.7678571428571</v>
      </c>
      <c r="J22">
        <v>1</v>
      </c>
    </row>
    <row r="23" spans="1:10" x14ac:dyDescent="0.3">
      <c r="A23" s="62"/>
      <c r="B23" t="s">
        <v>7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1108.575</v>
      </c>
      <c r="G23" s="2">
        <f>SUM(Table1351314[[#This Row],[Coke]:[Hi tea Platter]])</f>
        <v>1108.575</v>
      </c>
      <c r="H23">
        <f t="shared" si="2"/>
        <v>44.807142857142857</v>
      </c>
      <c r="I23" s="26">
        <f>Table1351314[[#This Row],[Total]]-Table1351314[[#This Row],[Discount]]</f>
        <v>1063.7678571428571</v>
      </c>
      <c r="J23">
        <v>1</v>
      </c>
    </row>
    <row r="24" spans="1:10" x14ac:dyDescent="0.3">
      <c r="A24" s="62"/>
      <c r="B24" t="s">
        <v>89</v>
      </c>
      <c r="C24">
        <f t="shared" si="1"/>
        <v>0</v>
      </c>
      <c r="D24">
        <f t="shared" si="1"/>
        <v>117</v>
      </c>
      <c r="E24">
        <f t="shared" si="1"/>
        <v>0</v>
      </c>
      <c r="F24">
        <f t="shared" si="1"/>
        <v>1108.575</v>
      </c>
      <c r="G24" s="2">
        <f>SUM(Table1351314[[#This Row],[Coke]:[Hi tea Platter]])</f>
        <v>1225.575</v>
      </c>
      <c r="H24">
        <f t="shared" si="2"/>
        <v>44.807142857142857</v>
      </c>
      <c r="I24" s="26">
        <f>Table1351314[[#This Row],[Total]]-Table1351314[[#This Row],[Discount]]</f>
        <v>1180.7678571428571</v>
      </c>
      <c r="J24">
        <v>1</v>
      </c>
    </row>
    <row r="25" spans="1:10" x14ac:dyDescent="0.3">
      <c r="A25" s="62"/>
      <c r="B25" t="s">
        <v>90</v>
      </c>
      <c r="C25">
        <f t="shared" si="1"/>
        <v>0</v>
      </c>
      <c r="D25">
        <f t="shared" si="1"/>
        <v>0</v>
      </c>
      <c r="E25">
        <f t="shared" si="1"/>
        <v>1398.15</v>
      </c>
      <c r="F25">
        <f t="shared" si="1"/>
        <v>0</v>
      </c>
      <c r="G25" s="2">
        <f>SUM(Table1351314[[#This Row],[Coke]:[Hi tea Platter]])</f>
        <v>1398.15</v>
      </c>
      <c r="H25">
        <f t="shared" si="2"/>
        <v>44.807142857142857</v>
      </c>
      <c r="I25" s="26">
        <f>Table1351314[[#This Row],[Total]]-Table1351314[[#This Row],[Discount]]</f>
        <v>1353.3428571428572</v>
      </c>
    </row>
    <row r="26" spans="1:10" x14ac:dyDescent="0.3">
      <c r="B26" s="2" t="s">
        <v>26</v>
      </c>
      <c r="C26" s="2">
        <f t="shared" ref="C26:F26" si="3">SUM(C19:C25)</f>
        <v>105.3</v>
      </c>
      <c r="D26" s="2">
        <f t="shared" si="3"/>
        <v>117</v>
      </c>
      <c r="E26" s="2">
        <f t="shared" si="3"/>
        <v>1398.15</v>
      </c>
      <c r="F26" s="2">
        <f t="shared" si="3"/>
        <v>6651.45</v>
      </c>
      <c r="G26" s="2">
        <f>SUM(Table1351314[[#This Row],[Coke]:[Hi tea Platter]])</f>
        <v>8271.9</v>
      </c>
      <c r="H26">
        <f>Table1351314[[#This Row],[Total]]-313.65</f>
        <v>7958.25</v>
      </c>
      <c r="I26" s="27">
        <f>SUM(I19:I25)</f>
        <v>7958.25</v>
      </c>
      <c r="J26">
        <f>SUM(J19:J25)</f>
        <v>5</v>
      </c>
    </row>
  </sheetData>
  <mergeCells count="6">
    <mergeCell ref="C1:D1"/>
    <mergeCell ref="A3:A9"/>
    <mergeCell ref="C17:D17"/>
    <mergeCell ref="A19:A25"/>
    <mergeCell ref="E1:F1"/>
    <mergeCell ref="E17:F17"/>
  </mergeCells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6"/>
  <sheetViews>
    <sheetView topLeftCell="A7" workbookViewId="0">
      <selection activeCell="K12" sqref="K12"/>
    </sheetView>
  </sheetViews>
  <sheetFormatPr defaultRowHeight="14.4" x14ac:dyDescent="0.3"/>
  <sheetData>
    <row r="1" spans="1:16" x14ac:dyDescent="0.3">
      <c r="C1" s="60" t="s">
        <v>22</v>
      </c>
      <c r="D1" s="60"/>
      <c r="E1" s="61" t="s">
        <v>23</v>
      </c>
      <c r="F1" s="61"/>
      <c r="G1" s="25"/>
    </row>
    <row r="2" spans="1:16" ht="28.8" x14ac:dyDescent="0.3">
      <c r="B2" s="1" t="s">
        <v>25</v>
      </c>
      <c r="C2" s="1" t="s">
        <v>96</v>
      </c>
      <c r="D2" s="1" t="s">
        <v>41</v>
      </c>
      <c r="E2" s="1" t="s">
        <v>40</v>
      </c>
      <c r="F2" s="1" t="s">
        <v>97</v>
      </c>
      <c r="G2" s="3" t="s">
        <v>26</v>
      </c>
    </row>
    <row r="3" spans="1:16" x14ac:dyDescent="0.3">
      <c r="A3" s="62" t="s">
        <v>24</v>
      </c>
      <c r="B3" t="s">
        <v>9</v>
      </c>
      <c r="C3">
        <v>1</v>
      </c>
      <c r="E3" s="6"/>
      <c r="F3" s="6">
        <v>0.33333333333333331</v>
      </c>
      <c r="G3" s="2">
        <f>SUM(Table14121115[[#This Row],[Strawberry shake]:[Iftaar platter]])</f>
        <v>1.3333333333333333</v>
      </c>
    </row>
    <row r="4" spans="1:16" x14ac:dyDescent="0.3">
      <c r="A4" s="62"/>
      <c r="B4" t="s">
        <v>7</v>
      </c>
      <c r="E4" s="6"/>
      <c r="F4" s="6">
        <v>0.33333333333333331</v>
      </c>
      <c r="G4" s="2">
        <f>SUM(Table14121115[[#This Row],[Strawberry shake]:[Iftaar platter]])</f>
        <v>0.33333333333333331</v>
      </c>
    </row>
    <row r="5" spans="1:16" x14ac:dyDescent="0.3">
      <c r="A5" s="62"/>
      <c r="B5" t="s">
        <v>81</v>
      </c>
      <c r="E5" s="6"/>
      <c r="F5" s="6">
        <v>0.33333333333333331</v>
      </c>
      <c r="G5" s="2">
        <f>SUM(Table14121115[[#This Row],[Strawberry shake]:[Iftaar platter]])</f>
        <v>0.33333333333333331</v>
      </c>
    </row>
    <row r="6" spans="1:16" x14ac:dyDescent="0.3">
      <c r="A6" s="62"/>
      <c r="E6" s="6"/>
      <c r="F6" s="6"/>
      <c r="G6" s="2">
        <f>SUM(Table14121115[[#This Row],[Strawberry shake]:[Iftaar platter]])</f>
        <v>0</v>
      </c>
    </row>
    <row r="7" spans="1:16" x14ac:dyDescent="0.3">
      <c r="A7" s="62"/>
      <c r="E7" s="6"/>
      <c r="F7" s="6"/>
      <c r="G7" s="2">
        <f>SUM(Table14121115[[#This Row],[Strawberry shake]:[Iftaar platter]])</f>
        <v>0</v>
      </c>
    </row>
    <row r="8" spans="1:16" x14ac:dyDescent="0.3">
      <c r="A8" s="62"/>
      <c r="F8" s="6"/>
      <c r="G8" s="2">
        <f>SUM(Table14121115[[#This Row],[Strawberry shake]:[Iftaar platter]])</f>
        <v>0</v>
      </c>
    </row>
    <row r="9" spans="1:16" x14ac:dyDescent="0.3">
      <c r="A9" s="62"/>
      <c r="G9" s="2">
        <f>SUM(Table14121115[[#This Row],[Strawberry shake]:[Iftaar platter]])</f>
        <v>0</v>
      </c>
    </row>
    <row r="10" spans="1:16" x14ac:dyDescent="0.3">
      <c r="B10" s="2" t="s">
        <v>26</v>
      </c>
      <c r="C10" s="2">
        <f>SUM(C3:C9)</f>
        <v>1</v>
      </c>
      <c r="D10" s="2">
        <f>SUM(D3:D9)</f>
        <v>0</v>
      </c>
      <c r="E10" s="2">
        <f>SUM(E3:E9)</f>
        <v>0</v>
      </c>
      <c r="F10" s="2">
        <f>SUM(F3:F9)</f>
        <v>1</v>
      </c>
      <c r="G10" s="2">
        <f>SUM(Table14121115[[#This Row],[Strawberry shake]:[Iftaar platter]])</f>
        <v>2</v>
      </c>
    </row>
    <row r="12" spans="1:16" x14ac:dyDescent="0.3">
      <c r="B12" s="10" t="s">
        <v>29</v>
      </c>
      <c r="C12" s="5">
        <v>0.18</v>
      </c>
      <c r="J12" s="10" t="s">
        <v>98</v>
      </c>
      <c r="K12" s="5">
        <v>5.9799999999999999E-2</v>
      </c>
    </row>
    <row r="13" spans="1:16" x14ac:dyDescent="0.3">
      <c r="B13" s="10" t="s">
        <v>30</v>
      </c>
      <c r="C13" s="11">
        <v>595</v>
      </c>
      <c r="D13" s="11"/>
      <c r="E13" s="11"/>
      <c r="F13" s="11">
        <v>1599</v>
      </c>
      <c r="G13" s="11"/>
      <c r="H13" s="11">
        <f>SUM(C13:G13)</f>
        <v>2194</v>
      </c>
      <c r="J13" s="10" t="s">
        <v>30</v>
      </c>
      <c r="K13" s="11">
        <v>595</v>
      </c>
      <c r="L13" s="11"/>
      <c r="M13" s="11"/>
      <c r="N13" s="11">
        <v>1599</v>
      </c>
      <c r="O13" s="11"/>
      <c r="P13" s="11">
        <f>SUM(K13:O13)</f>
        <v>2194</v>
      </c>
    </row>
    <row r="14" spans="1:16" x14ac:dyDescent="0.3">
      <c r="B14" s="10" t="s">
        <v>31</v>
      </c>
      <c r="C14">
        <f>C13*$C$12</f>
        <v>107.1</v>
      </c>
      <c r="D14">
        <f>D13*$C$12</f>
        <v>0</v>
      </c>
      <c r="E14">
        <f>E13*$C$12</f>
        <v>0</v>
      </c>
      <c r="F14">
        <f>F13*$C$12</f>
        <v>287.82</v>
      </c>
      <c r="H14">
        <f>H13*$C$12</f>
        <v>394.91999999999996</v>
      </c>
      <c r="J14" s="10" t="s">
        <v>31</v>
      </c>
      <c r="K14">
        <f>K13*$K$12</f>
        <v>35.580999999999996</v>
      </c>
      <c r="L14">
        <f t="shared" ref="L14:P14" si="0">L13*$K$12</f>
        <v>0</v>
      </c>
      <c r="M14">
        <f t="shared" si="0"/>
        <v>0</v>
      </c>
      <c r="N14">
        <f t="shared" si="0"/>
        <v>95.620199999999997</v>
      </c>
      <c r="O14">
        <f t="shared" si="0"/>
        <v>0</v>
      </c>
      <c r="P14">
        <f t="shared" si="0"/>
        <v>131.2012</v>
      </c>
    </row>
    <row r="15" spans="1:16" x14ac:dyDescent="0.3">
      <c r="B15" s="10" t="s">
        <v>32</v>
      </c>
      <c r="C15" s="12">
        <f>SUM(C13:C14)</f>
        <v>702.1</v>
      </c>
      <c r="D15" s="12">
        <f t="shared" ref="D15:H15" si="1">SUM(D13:D14)</f>
        <v>0</v>
      </c>
      <c r="E15" s="12">
        <f t="shared" si="1"/>
        <v>0</v>
      </c>
      <c r="F15" s="12">
        <f t="shared" si="1"/>
        <v>1886.82</v>
      </c>
      <c r="G15" s="12"/>
      <c r="H15" s="12">
        <f t="shared" si="1"/>
        <v>2588.92</v>
      </c>
      <c r="J15" s="10" t="s">
        <v>32</v>
      </c>
      <c r="K15" s="12">
        <f>SUM(K13:K14)</f>
        <v>630.58100000000002</v>
      </c>
      <c r="L15" s="12">
        <f t="shared" ref="L15:N15" si="2">SUM(L13:L14)</f>
        <v>0</v>
      </c>
      <c r="M15" s="12">
        <f t="shared" si="2"/>
        <v>0</v>
      </c>
      <c r="N15" s="12">
        <f t="shared" si="2"/>
        <v>1694.6202000000001</v>
      </c>
      <c r="O15" s="12"/>
      <c r="P15" s="12">
        <f t="shared" ref="P15" si="3">SUM(P13:P14)</f>
        <v>2325.2012</v>
      </c>
    </row>
    <row r="17" spans="1:7" x14ac:dyDescent="0.3">
      <c r="C17" s="60" t="s">
        <v>22</v>
      </c>
      <c r="D17" s="60"/>
      <c r="E17" s="61" t="s">
        <v>23</v>
      </c>
      <c r="F17" s="61"/>
      <c r="G17" s="25"/>
    </row>
    <row r="18" spans="1:7" ht="28.8" x14ac:dyDescent="0.3">
      <c r="B18" s="1" t="s">
        <v>25</v>
      </c>
      <c r="C18" s="1" t="s">
        <v>10</v>
      </c>
      <c r="D18" s="1" t="s">
        <v>93</v>
      </c>
      <c r="E18" s="3" t="s">
        <v>26</v>
      </c>
    </row>
    <row r="19" spans="1:7" x14ac:dyDescent="0.3">
      <c r="A19" s="62" t="s">
        <v>24</v>
      </c>
      <c r="B19" t="s">
        <v>9</v>
      </c>
      <c r="C19">
        <f>C3*(C$13+C$14+K$14)</f>
        <v>737.68100000000004</v>
      </c>
      <c r="D19">
        <f>F3*(F$13+F$14+N$14)</f>
        <v>660.8134</v>
      </c>
      <c r="E19" s="2">
        <f>SUM(Table135131416[[#This Row],[Coke]:[Hi tea Platter]])</f>
        <v>1398.4944</v>
      </c>
    </row>
    <row r="20" spans="1:7" x14ac:dyDescent="0.3">
      <c r="A20" s="62"/>
      <c r="B20" t="s">
        <v>7</v>
      </c>
      <c r="C20">
        <f t="shared" ref="C20:C21" si="4">C4*(C$13+C$14+K$14)</f>
        <v>0</v>
      </c>
      <c r="D20">
        <f>F4*(F$13+F$14+N$14)</f>
        <v>660.8134</v>
      </c>
      <c r="E20" s="2">
        <f>SUM(Table135131416[[#This Row],[Coke]:[Hi tea Platter]])</f>
        <v>660.8134</v>
      </c>
    </row>
    <row r="21" spans="1:7" x14ac:dyDescent="0.3">
      <c r="A21" s="62"/>
      <c r="B21" t="s">
        <v>81</v>
      </c>
      <c r="C21">
        <f t="shared" si="4"/>
        <v>0</v>
      </c>
      <c r="D21">
        <f>F5*(F$13+F$14+N$14)</f>
        <v>660.8134</v>
      </c>
      <c r="E21" s="2">
        <f>SUM(Table135131416[[#This Row],[Coke]:[Hi tea Platter]])</f>
        <v>660.8134</v>
      </c>
    </row>
    <row r="22" spans="1:7" x14ac:dyDescent="0.3">
      <c r="A22" s="62"/>
      <c r="E22" s="2"/>
    </row>
    <row r="23" spans="1:7" x14ac:dyDescent="0.3">
      <c r="A23" s="62"/>
      <c r="E23" s="2"/>
    </row>
    <row r="24" spans="1:7" x14ac:dyDescent="0.3">
      <c r="A24" s="62"/>
      <c r="E24" s="2"/>
    </row>
    <row r="25" spans="1:7" x14ac:dyDescent="0.3">
      <c r="A25" s="62"/>
      <c r="C25">
        <f>C9*($C19+$C20+$I20)</f>
        <v>0</v>
      </c>
      <c r="D25">
        <f>F9*($C19+$C20+$I20)</f>
        <v>0</v>
      </c>
      <c r="E25" s="2">
        <f>SUM(Table135131416[[#This Row],[Coke]:[Hi tea Platter]])</f>
        <v>0</v>
      </c>
    </row>
    <row r="26" spans="1:7" x14ac:dyDescent="0.3">
      <c r="B26" s="2" t="s">
        <v>26</v>
      </c>
      <c r="C26" s="2">
        <f t="shared" ref="C26:D26" si="5">SUM(C19:C25)</f>
        <v>737.68100000000004</v>
      </c>
      <c r="D26" s="2">
        <f t="shared" si="5"/>
        <v>1982.4402</v>
      </c>
      <c r="E26" s="2">
        <f>SUM(Table135131416[[#This Row],[Coke]:[Hi tea Platter]])</f>
        <v>2720.1212</v>
      </c>
    </row>
  </sheetData>
  <mergeCells count="6">
    <mergeCell ref="A19:A25"/>
    <mergeCell ref="C1:D1"/>
    <mergeCell ref="E1:F1"/>
    <mergeCell ref="A3:A9"/>
    <mergeCell ref="C17:D17"/>
    <mergeCell ref="E17:F17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45"/>
  <sheetViews>
    <sheetView topLeftCell="A26" workbookViewId="0">
      <selection sqref="A1:Q33"/>
    </sheetView>
  </sheetViews>
  <sheetFormatPr defaultRowHeight="14.4" x14ac:dyDescent="0.3"/>
  <cols>
    <col min="11" max="16" width="1.109375" customWidth="1"/>
    <col min="17" max="17" width="9.5546875" style="6" bestFit="1" customWidth="1"/>
  </cols>
  <sheetData>
    <row r="1" spans="1:19" ht="100.8" x14ac:dyDescent="0.3">
      <c r="B1" s="1" t="s">
        <v>25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40</v>
      </c>
      <c r="L1" s="1" t="s">
        <v>41</v>
      </c>
      <c r="M1" s="1" t="s">
        <v>49</v>
      </c>
      <c r="N1" s="1" t="s">
        <v>58</v>
      </c>
      <c r="O1" s="1" t="s">
        <v>59</v>
      </c>
      <c r="P1" s="1" t="s">
        <v>60</v>
      </c>
      <c r="Q1" s="18" t="s">
        <v>26</v>
      </c>
    </row>
    <row r="2" spans="1:19" x14ac:dyDescent="0.3">
      <c r="A2" s="62" t="s">
        <v>24</v>
      </c>
      <c r="B2" t="s">
        <v>0</v>
      </c>
      <c r="C2">
        <v>1</v>
      </c>
      <c r="Q2" s="7">
        <f>SUM(Table146[[#This Row],[Card Tea]:[Column6]])</f>
        <v>1</v>
      </c>
    </row>
    <row r="3" spans="1:19" x14ac:dyDescent="0.3">
      <c r="A3" s="62"/>
      <c r="B3" t="s">
        <v>1</v>
      </c>
      <c r="J3">
        <v>1</v>
      </c>
      <c r="Q3" s="7">
        <f>SUM(Table146[[#This Row],[Card Tea]:[Column6]])</f>
        <v>1</v>
      </c>
    </row>
    <row r="4" spans="1:19" x14ac:dyDescent="0.3">
      <c r="A4" s="62"/>
      <c r="B4" t="s">
        <v>4</v>
      </c>
      <c r="G4">
        <v>1</v>
      </c>
      <c r="H4">
        <v>1</v>
      </c>
      <c r="Q4" s="7">
        <f>SUM(Table146[[#This Row],[Card Tea]:[Column6]])</f>
        <v>2</v>
      </c>
    </row>
    <row r="5" spans="1:19" x14ac:dyDescent="0.3">
      <c r="A5" s="62"/>
      <c r="B5" t="s">
        <v>5</v>
      </c>
      <c r="F5">
        <v>1</v>
      </c>
      <c r="I5">
        <v>1</v>
      </c>
      <c r="N5" s="4"/>
      <c r="Q5" s="7">
        <f>SUM(Table146[[#This Row],[Card Tea]:[Column6]])</f>
        <v>2</v>
      </c>
    </row>
    <row r="6" spans="1:19" x14ac:dyDescent="0.3">
      <c r="A6" s="62"/>
      <c r="B6" t="s">
        <v>9</v>
      </c>
      <c r="E6">
        <v>1</v>
      </c>
      <c r="Q6" s="7">
        <f>SUM(Table146[[#This Row],[Card Tea]:[Column6]])</f>
        <v>1</v>
      </c>
    </row>
    <row r="7" spans="1:19" x14ac:dyDescent="0.3">
      <c r="A7" s="62"/>
      <c r="B7" t="s">
        <v>6</v>
      </c>
      <c r="C7">
        <v>1</v>
      </c>
      <c r="D7">
        <v>1</v>
      </c>
      <c r="Q7" s="7">
        <f>SUM(Table146[[#This Row],[Card Tea]:[Column6]])</f>
        <v>2</v>
      </c>
    </row>
    <row r="8" spans="1:19" x14ac:dyDescent="0.3">
      <c r="A8" s="62"/>
      <c r="B8" t="s">
        <v>7</v>
      </c>
      <c r="C8">
        <v>1</v>
      </c>
      <c r="D8">
        <v>1</v>
      </c>
      <c r="Q8" s="7">
        <f>SUM(Table146[[#This Row],[Card Tea]:[Column6]])</f>
        <v>2</v>
      </c>
    </row>
    <row r="9" spans="1:19" x14ac:dyDescent="0.3">
      <c r="A9" s="62"/>
      <c r="Q9" s="7"/>
    </row>
    <row r="10" spans="1:19" x14ac:dyDescent="0.3">
      <c r="A10" s="62"/>
      <c r="K10" s="4"/>
      <c r="Q10" s="7"/>
    </row>
    <row r="11" spans="1:19" x14ac:dyDescent="0.3">
      <c r="A11" s="62"/>
      <c r="Q11" s="7"/>
    </row>
    <row r="12" spans="1:19" x14ac:dyDescent="0.3">
      <c r="B12" s="2" t="s">
        <v>26</v>
      </c>
      <c r="C12" s="2">
        <f>SUM(C2:C11)</f>
        <v>3</v>
      </c>
      <c r="D12" s="2">
        <f t="shared" ref="D12:P12" si="0">SUM(D2:D11)</f>
        <v>2</v>
      </c>
      <c r="E12" s="2">
        <f t="shared" si="0"/>
        <v>1</v>
      </c>
      <c r="F12" s="2">
        <f t="shared" si="0"/>
        <v>1</v>
      </c>
      <c r="G12" s="2">
        <f t="shared" si="0"/>
        <v>1</v>
      </c>
      <c r="H12" s="2">
        <f t="shared" si="0"/>
        <v>1</v>
      </c>
      <c r="I12" s="2">
        <f t="shared" si="0"/>
        <v>1</v>
      </c>
      <c r="J12" s="2">
        <f t="shared" si="0"/>
        <v>1</v>
      </c>
      <c r="K12" s="2">
        <f t="shared" si="0"/>
        <v>0</v>
      </c>
      <c r="L12" s="2">
        <f t="shared" si="0"/>
        <v>0</v>
      </c>
      <c r="M12" s="2">
        <f t="shared" si="0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7">
        <f>SUM(Table146[[#This Row],[Card Tea]:[Column6]])</f>
        <v>11</v>
      </c>
    </row>
    <row r="13" spans="1:19" x14ac:dyDescent="0.3">
      <c r="C13">
        <f>C12*C19</f>
        <v>52.482824999999991</v>
      </c>
      <c r="D13">
        <f t="shared" ref="D13:J13" si="1">D12*D19</f>
        <v>29.651399999999995</v>
      </c>
      <c r="E13">
        <f t="shared" si="1"/>
        <v>17.197837499999999</v>
      </c>
      <c r="F13">
        <f t="shared" si="1"/>
        <v>23.127862500000003</v>
      </c>
      <c r="G13">
        <f t="shared" si="1"/>
        <v>17.197837499999999</v>
      </c>
      <c r="H13">
        <f t="shared" si="1"/>
        <v>5.9300249999999997</v>
      </c>
      <c r="I13">
        <f t="shared" si="1"/>
        <v>17.494274999999998</v>
      </c>
      <c r="J13">
        <f t="shared" si="1"/>
        <v>23.424299999999999</v>
      </c>
      <c r="Q13" s="19">
        <f>SUM(Table146[[#Totals],[Card Tea]:[Caramel Latte]])</f>
        <v>186.50636249999997</v>
      </c>
    </row>
    <row r="14" spans="1:19" x14ac:dyDescent="0.3">
      <c r="C14">
        <f>C22*C12</f>
        <v>699.77099999999996</v>
      </c>
      <c r="D14">
        <f t="shared" ref="D14:J14" si="2">D22*D12</f>
        <v>395.35199999999998</v>
      </c>
      <c r="E14">
        <f t="shared" si="2"/>
        <v>229.30449999999999</v>
      </c>
      <c r="F14">
        <f t="shared" si="2"/>
        <v>308.37150000000003</v>
      </c>
      <c r="G14">
        <f t="shared" si="2"/>
        <v>229.30449999999999</v>
      </c>
      <c r="H14">
        <f t="shared" si="2"/>
        <v>79.066999999999993</v>
      </c>
      <c r="I14">
        <f t="shared" si="2"/>
        <v>233.25700000000001</v>
      </c>
      <c r="J14">
        <f t="shared" si="2"/>
        <v>312.32400000000001</v>
      </c>
      <c r="Q14" s="19">
        <f>SUM(C14:J14)</f>
        <v>2486.7514999999999</v>
      </c>
      <c r="S14">
        <f>Table146[[#Totals],[Total]]+Q14</f>
        <v>2673.2578624999996</v>
      </c>
    </row>
    <row r="15" spans="1:19" x14ac:dyDescent="0.3">
      <c r="C15">
        <f>Table146[[#Totals],[Card Tea]]+C14</f>
        <v>752.25382500000001</v>
      </c>
      <c r="D15">
        <f>Table146[[#Totals],[Butter Scotch]]+D14</f>
        <v>425.00339999999994</v>
      </c>
      <c r="E15">
        <f>Table146[[#Totals],[Tiramisu]]+E14</f>
        <v>246.50233749999998</v>
      </c>
      <c r="F15">
        <f>Table146[[#Totals],[Cappucino]]+F14</f>
        <v>331.49936250000002</v>
      </c>
      <c r="G15">
        <f>Table146[[#Totals],[Chocolate swiss]]+G14</f>
        <v>246.50233749999998</v>
      </c>
      <c r="H15">
        <f>Table146[[#Totals],[Ice cream]]+H14</f>
        <v>84.997024999999994</v>
      </c>
      <c r="I15">
        <f>Table146[[#Totals],[Ganache Brownie]]+I14</f>
        <v>250.75127499999999</v>
      </c>
      <c r="J15">
        <f>Table146[[#Totals],[Caramel Latte]]+J14</f>
        <v>335.74830000000003</v>
      </c>
      <c r="Q15" s="19">
        <f>SUM(C15:J15)</f>
        <v>2673.2578625000001</v>
      </c>
    </row>
    <row r="16" spans="1:19" x14ac:dyDescent="0.3">
      <c r="C16">
        <f>C15/C12</f>
        <v>250.75127499999999</v>
      </c>
      <c r="D16">
        <f t="shared" ref="D16:J16" si="3">D15/D12</f>
        <v>212.50169999999997</v>
      </c>
      <c r="E16">
        <f t="shared" si="3"/>
        <v>246.50233749999998</v>
      </c>
      <c r="F16">
        <f t="shared" si="3"/>
        <v>331.49936250000002</v>
      </c>
      <c r="G16">
        <f t="shared" si="3"/>
        <v>246.50233749999998</v>
      </c>
      <c r="H16">
        <f t="shared" si="3"/>
        <v>84.997024999999994</v>
      </c>
      <c r="I16">
        <f t="shared" si="3"/>
        <v>250.75127499999999</v>
      </c>
      <c r="J16">
        <f t="shared" si="3"/>
        <v>335.74830000000003</v>
      </c>
      <c r="Q16" s="19"/>
    </row>
    <row r="17" spans="1:21" x14ac:dyDescent="0.3">
      <c r="B17" s="10" t="s">
        <v>29</v>
      </c>
      <c r="C17" s="5">
        <v>7.4999999999999997E-2</v>
      </c>
      <c r="D17" s="17">
        <v>0.15</v>
      </c>
    </row>
    <row r="18" spans="1:21" x14ac:dyDescent="0.3">
      <c r="B18" s="10" t="s">
        <v>30</v>
      </c>
      <c r="C18" s="11">
        <v>274.42</v>
      </c>
      <c r="D18" s="11">
        <v>232.56</v>
      </c>
      <c r="E18" s="11">
        <v>269.77</v>
      </c>
      <c r="F18" s="11">
        <v>362.79</v>
      </c>
      <c r="G18" s="11">
        <v>269.77</v>
      </c>
      <c r="H18" s="11">
        <v>93.02</v>
      </c>
      <c r="I18" s="11">
        <v>274.42</v>
      </c>
      <c r="J18" s="11">
        <v>367.44</v>
      </c>
      <c r="K18" s="11"/>
      <c r="L18" s="11"/>
      <c r="M18" s="11"/>
      <c r="N18" s="11"/>
      <c r="O18" s="11"/>
      <c r="P18" s="11"/>
      <c r="Q18" s="12">
        <f>SUM(C18:J18)</f>
        <v>2144.19</v>
      </c>
    </row>
    <row r="19" spans="1:21" x14ac:dyDescent="0.3">
      <c r="B19" s="10" t="s">
        <v>31</v>
      </c>
      <c r="C19">
        <f>C22*$C$17</f>
        <v>17.494274999999998</v>
      </c>
      <c r="D19">
        <f t="shared" ref="D19:J19" si="4">D22*$C$17</f>
        <v>14.825699999999998</v>
      </c>
      <c r="E19">
        <f t="shared" si="4"/>
        <v>17.197837499999999</v>
      </c>
      <c r="F19">
        <f t="shared" si="4"/>
        <v>23.127862500000003</v>
      </c>
      <c r="G19">
        <f t="shared" si="4"/>
        <v>17.197837499999999</v>
      </c>
      <c r="H19">
        <f t="shared" si="4"/>
        <v>5.9300249999999997</v>
      </c>
      <c r="I19">
        <f t="shared" si="4"/>
        <v>17.494274999999998</v>
      </c>
      <c r="J19">
        <f t="shared" si="4"/>
        <v>23.424299999999999</v>
      </c>
    </row>
    <row r="20" spans="1:21" x14ac:dyDescent="0.3">
      <c r="B20" s="10" t="s">
        <v>32</v>
      </c>
      <c r="C20" s="12">
        <f>SUM(C18:C19)</f>
        <v>291.91427500000003</v>
      </c>
      <c r="D20" s="12">
        <f t="shared" ref="D20:J20" si="5">SUM(D18:D19)</f>
        <v>247.38569999999999</v>
      </c>
      <c r="E20" s="12">
        <f t="shared" si="5"/>
        <v>286.96783749999997</v>
      </c>
      <c r="F20" s="12">
        <f t="shared" si="5"/>
        <v>385.91786250000001</v>
      </c>
      <c r="G20" s="12">
        <f t="shared" si="5"/>
        <v>286.96783749999997</v>
      </c>
      <c r="H20" s="12">
        <f t="shared" si="5"/>
        <v>98.950024999999997</v>
      </c>
      <c r="I20" s="12">
        <f t="shared" si="5"/>
        <v>291.91427500000003</v>
      </c>
      <c r="J20" s="12">
        <f t="shared" si="5"/>
        <v>390.86430000000001</v>
      </c>
      <c r="K20" s="12"/>
      <c r="L20" s="12"/>
      <c r="M20" s="12"/>
      <c r="N20" s="12"/>
      <c r="O20" s="12"/>
      <c r="P20" s="12"/>
      <c r="Q20" s="12">
        <f>SUM(C20:J20)</f>
        <v>2280.8821125000004</v>
      </c>
    </row>
    <row r="21" spans="1:21" x14ac:dyDescent="0.3">
      <c r="B21" s="10" t="s">
        <v>61</v>
      </c>
      <c r="C21" s="12">
        <f>C18*$D$17</f>
        <v>41.163000000000004</v>
      </c>
      <c r="D21" s="12">
        <f t="shared" ref="D21:J21" si="6">D18*$D$17</f>
        <v>34.884</v>
      </c>
      <c r="E21" s="12">
        <f t="shared" si="6"/>
        <v>40.465499999999999</v>
      </c>
      <c r="F21" s="12">
        <f t="shared" si="6"/>
        <v>54.418500000000002</v>
      </c>
      <c r="G21" s="12">
        <f t="shared" si="6"/>
        <v>40.465499999999999</v>
      </c>
      <c r="H21" s="12">
        <f t="shared" si="6"/>
        <v>13.952999999999999</v>
      </c>
      <c r="I21" s="12">
        <f t="shared" si="6"/>
        <v>41.163000000000004</v>
      </c>
      <c r="J21" s="12">
        <f t="shared" si="6"/>
        <v>55.116</v>
      </c>
      <c r="K21" s="12"/>
      <c r="L21" s="12"/>
      <c r="M21" s="12"/>
      <c r="N21" s="12"/>
      <c r="O21" s="12"/>
      <c r="P21" s="12"/>
      <c r="Q21" s="12"/>
    </row>
    <row r="22" spans="1:21" x14ac:dyDescent="0.3">
      <c r="B22" s="10" t="s">
        <v>62</v>
      </c>
      <c r="C22" s="12">
        <f>C18-C21</f>
        <v>233.25700000000001</v>
      </c>
      <c r="D22" s="12">
        <f t="shared" ref="D22:J22" si="7">D18-D21</f>
        <v>197.67599999999999</v>
      </c>
      <c r="E22" s="12">
        <f t="shared" si="7"/>
        <v>229.30449999999999</v>
      </c>
      <c r="F22" s="12">
        <f t="shared" si="7"/>
        <v>308.37150000000003</v>
      </c>
      <c r="G22" s="12">
        <f t="shared" si="7"/>
        <v>229.30449999999999</v>
      </c>
      <c r="H22" s="12">
        <f t="shared" si="7"/>
        <v>79.066999999999993</v>
      </c>
      <c r="I22" s="12">
        <f t="shared" si="7"/>
        <v>233.25700000000001</v>
      </c>
      <c r="J22" s="12">
        <f t="shared" si="7"/>
        <v>312.32400000000001</v>
      </c>
      <c r="K22" s="12"/>
      <c r="L22" s="12"/>
      <c r="M22" s="12"/>
      <c r="N22" s="12"/>
      <c r="O22" s="12"/>
      <c r="P22" s="12"/>
      <c r="Q22" s="12"/>
    </row>
    <row r="23" spans="1:21" x14ac:dyDescent="0.3">
      <c r="B23" s="1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5" spans="1:21" ht="100.8" x14ac:dyDescent="0.3">
      <c r="B25" s="1" t="s">
        <v>25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55</v>
      </c>
      <c r="I25" s="1" t="s">
        <v>56</v>
      </c>
      <c r="J25" s="1" t="s">
        <v>57</v>
      </c>
      <c r="K25" s="1" t="s">
        <v>40</v>
      </c>
      <c r="L25" s="1" t="s">
        <v>41</v>
      </c>
      <c r="M25" s="1" t="s">
        <v>49</v>
      </c>
      <c r="N25" s="1" t="s">
        <v>58</v>
      </c>
      <c r="O25" s="1" t="s">
        <v>59</v>
      </c>
      <c r="P25" s="1" t="s">
        <v>60</v>
      </c>
      <c r="Q25" s="18" t="s">
        <v>26</v>
      </c>
      <c r="R25" s="1" t="s">
        <v>63</v>
      </c>
    </row>
    <row r="26" spans="1:21" ht="15" thickBot="1" x14ac:dyDescent="0.35">
      <c r="A26" s="62" t="s">
        <v>24</v>
      </c>
      <c r="B26" t="s">
        <v>0</v>
      </c>
      <c r="C26">
        <f>C2*$C$16</f>
        <v>250.75127499999999</v>
      </c>
      <c r="D26">
        <f t="shared" ref="D26:J32" si="8">D$16*D2</f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Q26" s="7">
        <f>SUM(Table1357[[#This Row],[Card Tea]:[Caramel Latte]])</f>
        <v>250.75127499999999</v>
      </c>
      <c r="U26" s="16"/>
    </row>
    <row r="27" spans="1:21" x14ac:dyDescent="0.3">
      <c r="A27" s="62"/>
      <c r="B27" t="s">
        <v>1</v>
      </c>
      <c r="C27">
        <f t="shared" ref="C27:C32" si="9">C3*$C$16</f>
        <v>0</v>
      </c>
      <c r="D27">
        <f t="shared" si="8"/>
        <v>0</v>
      </c>
      <c r="E27">
        <f t="shared" ref="E27:J27" si="10">E$16*E3</f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335.74830000000003</v>
      </c>
      <c r="Q27" s="7">
        <f>SUM(Table1357[[#This Row],[Card Tea]:[Caramel Latte]])</f>
        <v>335.74830000000003</v>
      </c>
      <c r="U27" s="14"/>
    </row>
    <row r="28" spans="1:21" x14ac:dyDescent="0.3">
      <c r="A28" s="62"/>
      <c r="B28" t="s">
        <v>4</v>
      </c>
      <c r="C28">
        <f t="shared" si="9"/>
        <v>0</v>
      </c>
      <c r="D28">
        <f t="shared" si="8"/>
        <v>0</v>
      </c>
      <c r="E28">
        <f t="shared" ref="E28:J28" si="11">E$16*E4</f>
        <v>0</v>
      </c>
      <c r="F28">
        <f t="shared" si="11"/>
        <v>0</v>
      </c>
      <c r="G28">
        <f t="shared" si="11"/>
        <v>246.50233749999998</v>
      </c>
      <c r="H28">
        <f t="shared" si="11"/>
        <v>84.997024999999994</v>
      </c>
      <c r="I28">
        <f t="shared" si="11"/>
        <v>0</v>
      </c>
      <c r="J28">
        <f t="shared" si="11"/>
        <v>0</v>
      </c>
      <c r="Q28" s="7">
        <f>SUM(Table1357[[#This Row],[Card Tea]:[Caramel Latte]])</f>
        <v>331.49936249999996</v>
      </c>
      <c r="U28" s="15"/>
    </row>
    <row r="29" spans="1:21" x14ac:dyDescent="0.3">
      <c r="A29" s="62"/>
      <c r="B29" t="s">
        <v>5</v>
      </c>
      <c r="C29">
        <f t="shared" si="9"/>
        <v>0</v>
      </c>
      <c r="D29">
        <f t="shared" si="8"/>
        <v>0</v>
      </c>
      <c r="E29">
        <f t="shared" ref="E29:J29" si="12">E$16*E5</f>
        <v>0</v>
      </c>
      <c r="F29">
        <f t="shared" si="12"/>
        <v>331.49936250000002</v>
      </c>
      <c r="G29">
        <f t="shared" si="12"/>
        <v>0</v>
      </c>
      <c r="H29">
        <f t="shared" si="12"/>
        <v>0</v>
      </c>
      <c r="I29">
        <f t="shared" si="12"/>
        <v>250.75127499999999</v>
      </c>
      <c r="J29">
        <f t="shared" si="12"/>
        <v>0</v>
      </c>
      <c r="N29" s="4"/>
      <c r="Q29" s="7">
        <f>SUM(Table1357[[#This Row],[Card Tea]:[Caramel Latte]])</f>
        <v>582.25063750000004</v>
      </c>
      <c r="U29" s="14"/>
    </row>
    <row r="30" spans="1:21" x14ac:dyDescent="0.3">
      <c r="A30" s="62"/>
      <c r="B30" t="s">
        <v>9</v>
      </c>
      <c r="C30">
        <f t="shared" si="9"/>
        <v>0</v>
      </c>
      <c r="D30">
        <f t="shared" si="8"/>
        <v>0</v>
      </c>
      <c r="E30">
        <f t="shared" ref="E30:J30" si="13">E$16*E6</f>
        <v>246.50233749999998</v>
      </c>
      <c r="F30">
        <f t="shared" si="13"/>
        <v>0</v>
      </c>
      <c r="G30">
        <f t="shared" si="13"/>
        <v>0</v>
      </c>
      <c r="H30">
        <f t="shared" si="13"/>
        <v>0</v>
      </c>
      <c r="I30">
        <f t="shared" si="13"/>
        <v>0</v>
      </c>
      <c r="J30">
        <f t="shared" si="13"/>
        <v>0</v>
      </c>
      <c r="Q30" s="7">
        <f>SUM(Table1357[[#This Row],[Card Tea]:[Caramel Latte]])</f>
        <v>246.50233749999998</v>
      </c>
      <c r="U30" s="15"/>
    </row>
    <row r="31" spans="1:21" x14ac:dyDescent="0.3">
      <c r="A31" s="62"/>
      <c r="B31" t="s">
        <v>6</v>
      </c>
      <c r="C31">
        <f t="shared" si="9"/>
        <v>250.75127499999999</v>
      </c>
      <c r="D31">
        <f t="shared" si="8"/>
        <v>212.50169999999997</v>
      </c>
      <c r="E31">
        <f t="shared" ref="E31:J31" si="14">E$16*E7</f>
        <v>0</v>
      </c>
      <c r="F31">
        <f t="shared" si="14"/>
        <v>0</v>
      </c>
      <c r="G31">
        <f t="shared" si="14"/>
        <v>0</v>
      </c>
      <c r="H31">
        <f t="shared" si="14"/>
        <v>0</v>
      </c>
      <c r="I31">
        <f t="shared" si="14"/>
        <v>0</v>
      </c>
      <c r="J31">
        <f t="shared" si="14"/>
        <v>0</v>
      </c>
      <c r="Q31" s="7">
        <f>SUM(Table1357[[#This Row],[Card Tea]:[Caramel Latte]])</f>
        <v>463.25297499999999</v>
      </c>
      <c r="U31" s="14"/>
    </row>
    <row r="32" spans="1:21" x14ac:dyDescent="0.3">
      <c r="A32" s="62"/>
      <c r="B32" t="s">
        <v>7</v>
      </c>
      <c r="C32">
        <f t="shared" si="9"/>
        <v>250.75127499999999</v>
      </c>
      <c r="D32">
        <f t="shared" si="8"/>
        <v>212.50169999999997</v>
      </c>
      <c r="E32">
        <f t="shared" ref="E32:J32" si="15">E$16*E8</f>
        <v>0</v>
      </c>
      <c r="F32">
        <f t="shared" si="15"/>
        <v>0</v>
      </c>
      <c r="G32">
        <f t="shared" si="15"/>
        <v>0</v>
      </c>
      <c r="H32">
        <f t="shared" si="15"/>
        <v>0</v>
      </c>
      <c r="I32">
        <f t="shared" si="15"/>
        <v>0</v>
      </c>
      <c r="J32">
        <f t="shared" si="15"/>
        <v>0</v>
      </c>
      <c r="Q32" s="7">
        <f>SUM(Table1357[[#This Row],[Card Tea]:[Caramel Latte]])</f>
        <v>463.25297499999999</v>
      </c>
      <c r="U32" s="15"/>
    </row>
    <row r="33" spans="1:23" x14ac:dyDescent="0.3">
      <c r="B33" s="2" t="s">
        <v>26</v>
      </c>
      <c r="C33">
        <f>SUM(C26:C32)</f>
        <v>752.25382500000001</v>
      </c>
      <c r="D33">
        <f t="shared" ref="D33:J33" si="16">SUM(D26:D32)</f>
        <v>425.00339999999994</v>
      </c>
      <c r="E33">
        <f t="shared" si="16"/>
        <v>246.50233749999998</v>
      </c>
      <c r="F33">
        <f t="shared" si="16"/>
        <v>331.49936250000002</v>
      </c>
      <c r="G33">
        <f t="shared" si="16"/>
        <v>246.50233749999998</v>
      </c>
      <c r="H33">
        <f t="shared" si="16"/>
        <v>84.997024999999994</v>
      </c>
      <c r="I33">
        <f t="shared" si="16"/>
        <v>250.75127499999999</v>
      </c>
      <c r="J33">
        <f t="shared" si="16"/>
        <v>335.74830000000003</v>
      </c>
      <c r="K33" s="2"/>
      <c r="L33" s="2"/>
      <c r="M33" s="2"/>
      <c r="N33" s="2"/>
      <c r="O33" s="2"/>
      <c r="P33" s="2"/>
      <c r="Q33" s="20">
        <f>SUM(Table1357[[#This Row],[Card Tea]:[Caramel Latte]])</f>
        <v>2673.2578625000001</v>
      </c>
      <c r="U33" s="14"/>
    </row>
    <row r="34" spans="1:23" x14ac:dyDescent="0.3">
      <c r="Q34" s="7"/>
    </row>
    <row r="35" spans="1:23" x14ac:dyDescent="0.3">
      <c r="Q35" s="7"/>
    </row>
    <row r="36" spans="1:23" ht="100.8" x14ac:dyDescent="0.3">
      <c r="B36" s="1" t="s">
        <v>25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55</v>
      </c>
      <c r="I36" s="1" t="s">
        <v>56</v>
      </c>
      <c r="J36" s="1" t="s">
        <v>57</v>
      </c>
      <c r="K36" s="1" t="s">
        <v>40</v>
      </c>
      <c r="L36" s="1" t="s">
        <v>41</v>
      </c>
      <c r="M36" s="1" t="s">
        <v>49</v>
      </c>
      <c r="N36" s="1" t="s">
        <v>58</v>
      </c>
      <c r="O36" s="1" t="s">
        <v>59</v>
      </c>
      <c r="P36" s="1" t="s">
        <v>60</v>
      </c>
      <c r="Q36" s="18" t="s">
        <v>26</v>
      </c>
    </row>
    <row r="37" spans="1:23" x14ac:dyDescent="0.3">
      <c r="A37" s="62" t="s">
        <v>24</v>
      </c>
      <c r="B37" t="s">
        <v>0</v>
      </c>
      <c r="Q37" s="7">
        <f>SUM(Table13578[[#This Row],[Card Tea]:[Column6]])</f>
        <v>0</v>
      </c>
      <c r="S37">
        <v>465.12</v>
      </c>
    </row>
    <row r="38" spans="1:23" x14ac:dyDescent="0.3">
      <c r="A38" s="62"/>
      <c r="B38" t="s">
        <v>1</v>
      </c>
      <c r="Q38" s="7">
        <f>SUM(Table13578[[#This Row],[Card Tea]:[Column6]])</f>
        <v>0</v>
      </c>
      <c r="S38">
        <v>823.26</v>
      </c>
    </row>
    <row r="39" spans="1:23" x14ac:dyDescent="0.3">
      <c r="A39" s="62"/>
      <c r="B39" t="s">
        <v>4</v>
      </c>
      <c r="Q39" s="7">
        <f>SUM(Table13578[[#This Row],[Card Tea]:[Column6]])</f>
        <v>0</v>
      </c>
      <c r="S39">
        <v>269.77</v>
      </c>
    </row>
    <row r="40" spans="1:23" x14ac:dyDescent="0.3">
      <c r="A40" s="62"/>
      <c r="B40" t="s">
        <v>5</v>
      </c>
      <c r="N40" s="4"/>
      <c r="Q40" s="7">
        <f>SUM(Table13578[[#This Row],[Card Tea]:[Column6]])</f>
        <v>0</v>
      </c>
      <c r="S40">
        <v>362.79</v>
      </c>
    </row>
    <row r="41" spans="1:23" x14ac:dyDescent="0.3">
      <c r="A41" s="62"/>
      <c r="B41" t="s">
        <v>9</v>
      </c>
      <c r="Q41" s="7">
        <f>SUM(Table13578[[#This Row],[Card Tea]:[Column6]])</f>
        <v>0</v>
      </c>
      <c r="S41">
        <v>269.77</v>
      </c>
    </row>
    <row r="42" spans="1:23" x14ac:dyDescent="0.3">
      <c r="A42" s="62"/>
      <c r="B42" t="s">
        <v>6</v>
      </c>
      <c r="Q42" s="7">
        <f>SUM(Table13578[[#This Row],[Card Tea]:[Column6]])</f>
        <v>0</v>
      </c>
      <c r="S42">
        <v>93.02</v>
      </c>
    </row>
    <row r="43" spans="1:23" x14ac:dyDescent="0.3">
      <c r="A43" s="62"/>
      <c r="B43" t="s">
        <v>7</v>
      </c>
      <c r="Q43" s="7">
        <f>SUM(Table13578[[#This Row],[Card Tea]:[Column6]])</f>
        <v>0</v>
      </c>
      <c r="S43">
        <v>274.42</v>
      </c>
    </row>
    <row r="44" spans="1:23" x14ac:dyDescent="0.3">
      <c r="B44" s="2" t="s">
        <v>26</v>
      </c>
      <c r="C44" s="2">
        <f t="shared" ref="C44" si="17">SUM(C37:C43)</f>
        <v>0</v>
      </c>
      <c r="D44" s="2">
        <f t="shared" ref="D44" si="18">SUM(D37:D43)</f>
        <v>0</v>
      </c>
      <c r="E44" s="2">
        <f t="shared" ref="E44" si="19">SUM(E37:E43)</f>
        <v>0</v>
      </c>
      <c r="F44" s="2">
        <f t="shared" ref="F44" si="20">SUM(F37:F43)</f>
        <v>0</v>
      </c>
      <c r="G44" s="2">
        <f t="shared" ref="G44" si="21">SUM(G37:G43)</f>
        <v>0</v>
      </c>
      <c r="H44" s="2">
        <f t="shared" ref="H44" si="22">SUM(H37:H43)</f>
        <v>0</v>
      </c>
      <c r="I44" s="2">
        <f t="shared" ref="I44" si="23">SUM(I37:I43)</f>
        <v>0</v>
      </c>
      <c r="J44" s="2">
        <f t="shared" ref="J44" si="24">SUM(J37:J43)</f>
        <v>0</v>
      </c>
      <c r="K44" s="2">
        <f t="shared" ref="K44" si="25">SUM(K37:K43)</f>
        <v>0</v>
      </c>
      <c r="L44" s="2">
        <f t="shared" ref="L44" si="26">SUM(L37:L43)</f>
        <v>0</v>
      </c>
      <c r="M44" s="2">
        <f t="shared" ref="M44" si="27">SUM(M37:M43)</f>
        <v>0</v>
      </c>
      <c r="N44" s="2">
        <f t="shared" ref="N44" si="28">SUM(N37:N43)</f>
        <v>0</v>
      </c>
      <c r="O44" s="2">
        <f t="shared" ref="O44" si="29">SUM(O37:O43)</f>
        <v>0</v>
      </c>
      <c r="P44" s="2">
        <f t="shared" ref="P44" si="30">SUM(P37:P43)</f>
        <v>0</v>
      </c>
      <c r="Q44" s="20">
        <f t="shared" ref="Q44" si="31">SUM(Q37:Q43)</f>
        <v>0</v>
      </c>
      <c r="S44">
        <v>367.44</v>
      </c>
    </row>
    <row r="45" spans="1:23" x14ac:dyDescent="0.3">
      <c r="S45">
        <f>SUM(S37:S44)</f>
        <v>2925.59</v>
      </c>
      <c r="T45">
        <f>S45*15%</f>
        <v>438.83850000000001</v>
      </c>
      <c r="U45">
        <f>S45-T45</f>
        <v>2486.7515000000003</v>
      </c>
      <c r="V45">
        <f>U45*C17</f>
        <v>186.50636250000002</v>
      </c>
      <c r="W45">
        <f>U45+V45</f>
        <v>2673.2578625000006</v>
      </c>
    </row>
  </sheetData>
  <mergeCells count="3">
    <mergeCell ref="A37:A43"/>
    <mergeCell ref="A2:A11"/>
    <mergeCell ref="A26:A3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4"/>
  <sheetViews>
    <sheetView workbookViewId="0">
      <selection sqref="A1:K34"/>
    </sheetView>
  </sheetViews>
  <sheetFormatPr defaultRowHeight="14.4" x14ac:dyDescent="0.3"/>
  <sheetData>
    <row r="1" spans="1:11" ht="43.2" x14ac:dyDescent="0.3">
      <c r="B1" s="1" t="s">
        <v>25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14</v>
      </c>
      <c r="J1" s="1" t="s">
        <v>71</v>
      </c>
      <c r="K1" s="18" t="s">
        <v>26</v>
      </c>
    </row>
    <row r="2" spans="1:11" x14ac:dyDescent="0.3">
      <c r="A2" s="62" t="s">
        <v>24</v>
      </c>
      <c r="B2" t="s">
        <v>0</v>
      </c>
      <c r="E2">
        <v>1</v>
      </c>
      <c r="H2">
        <v>1</v>
      </c>
      <c r="K2" s="7">
        <f>SUM(Table1469[[#This Row],[Chicken Nacho]:[Fudge Cake]])</f>
        <v>2</v>
      </c>
    </row>
    <row r="3" spans="1:11" x14ac:dyDescent="0.3">
      <c r="A3" s="62"/>
      <c r="B3" t="s">
        <v>1</v>
      </c>
      <c r="E3">
        <v>1</v>
      </c>
      <c r="G3">
        <v>1</v>
      </c>
      <c r="K3" s="7">
        <f>SUM(Table1469[[#This Row],[Chicken Nacho]:[Fudge Cake]])</f>
        <v>2</v>
      </c>
    </row>
    <row r="4" spans="1:11" x14ac:dyDescent="0.3">
      <c r="A4" s="62"/>
      <c r="B4" t="s">
        <v>4</v>
      </c>
      <c r="C4">
        <v>1</v>
      </c>
      <c r="I4">
        <v>1</v>
      </c>
      <c r="K4" s="7">
        <f>SUM(Table1469[[#This Row],[Chicken Nacho]:[Fudge Cake]])</f>
        <v>2</v>
      </c>
    </row>
    <row r="5" spans="1:11" x14ac:dyDescent="0.3">
      <c r="A5" s="62"/>
      <c r="B5" t="s">
        <v>9</v>
      </c>
      <c r="D5">
        <v>1</v>
      </c>
      <c r="J5">
        <v>1</v>
      </c>
      <c r="K5" s="7">
        <f>SUM(Table1469[[#This Row],[Chicken Nacho]:[Fudge Cake]])</f>
        <v>2</v>
      </c>
    </row>
    <row r="6" spans="1:11" x14ac:dyDescent="0.3">
      <c r="A6" s="62"/>
      <c r="B6" t="s">
        <v>6</v>
      </c>
      <c r="C6">
        <v>1</v>
      </c>
      <c r="K6" s="7">
        <f>SUM(Table1469[[#This Row],[Chicken Nacho]:[Fudge Cake]])</f>
        <v>1</v>
      </c>
    </row>
    <row r="7" spans="1:11" x14ac:dyDescent="0.3">
      <c r="A7" s="62"/>
      <c r="B7" t="s">
        <v>64</v>
      </c>
      <c r="D7">
        <v>1</v>
      </c>
      <c r="F7">
        <v>1</v>
      </c>
      <c r="K7" s="7">
        <f>SUM(Table1469[[#This Row],[Chicken Nacho]:[Fudge Cake]])</f>
        <v>2</v>
      </c>
    </row>
    <row r="8" spans="1:11" x14ac:dyDescent="0.3">
      <c r="A8" s="62"/>
      <c r="K8" s="7">
        <f>SUM(Table1469[[#This Row],[Chicken Nacho]:[Fudge Cake]])</f>
        <v>0</v>
      </c>
    </row>
    <row r="9" spans="1:11" x14ac:dyDescent="0.3">
      <c r="A9" s="62"/>
      <c r="K9" s="7">
        <f>SUM(Table1469[[#This Row],[Chicken Nacho]:[Fudge Cake]])</f>
        <v>0</v>
      </c>
    </row>
    <row r="10" spans="1:11" x14ac:dyDescent="0.3">
      <c r="A10" s="62"/>
      <c r="K10" s="7">
        <f>SUM(Table1469[[#This Row],[Chicken Nacho]:[Fudge Cake]])</f>
        <v>0</v>
      </c>
    </row>
    <row r="11" spans="1:11" x14ac:dyDescent="0.3">
      <c r="B11" s="2" t="s">
        <v>26</v>
      </c>
      <c r="C11" s="2">
        <f t="shared" ref="C11:J11" si="0">SUM(C2:C10)</f>
        <v>2</v>
      </c>
      <c r="D11" s="2">
        <f t="shared" si="0"/>
        <v>2</v>
      </c>
      <c r="E11" s="2">
        <f t="shared" si="0"/>
        <v>2</v>
      </c>
      <c r="F11" s="2">
        <f t="shared" si="0"/>
        <v>1</v>
      </c>
      <c r="G11" s="2">
        <f t="shared" si="0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  <c r="K11" s="7">
        <f>SUM(Table1469[[#This Row],[Chicken Nacho]:[Fudge Cake]])</f>
        <v>11</v>
      </c>
    </row>
    <row r="12" spans="1:11" x14ac:dyDescent="0.3">
      <c r="K12" s="19"/>
    </row>
    <row r="13" spans="1:11" x14ac:dyDescent="0.3">
      <c r="K13" s="19"/>
    </row>
    <row r="14" spans="1:11" x14ac:dyDescent="0.3">
      <c r="K14" s="19"/>
    </row>
    <row r="15" spans="1:11" x14ac:dyDescent="0.3">
      <c r="K15" s="19"/>
    </row>
    <row r="16" spans="1:11" x14ac:dyDescent="0.3">
      <c r="B16" s="10" t="s">
        <v>29</v>
      </c>
      <c r="C16" s="5">
        <v>0.17</v>
      </c>
      <c r="D16" s="17"/>
      <c r="K16" s="6"/>
    </row>
    <row r="17" spans="1:13" x14ac:dyDescent="0.3">
      <c r="B17" s="10" t="s">
        <v>30</v>
      </c>
      <c r="C17" s="11">
        <v>599</v>
      </c>
      <c r="D17" s="11">
        <v>549</v>
      </c>
      <c r="E17" s="11">
        <v>1049</v>
      </c>
      <c r="F17" s="11">
        <v>395</v>
      </c>
      <c r="G17" s="11">
        <v>119</v>
      </c>
      <c r="H17" s="11">
        <v>119</v>
      </c>
      <c r="I17" s="11">
        <v>395</v>
      </c>
      <c r="J17" s="11">
        <v>499</v>
      </c>
      <c r="K17" s="12">
        <f>SUM(C17:J17)</f>
        <v>3724</v>
      </c>
    </row>
    <row r="18" spans="1:13" x14ac:dyDescent="0.3">
      <c r="B18" s="10" t="s">
        <v>31</v>
      </c>
      <c r="C18">
        <f t="shared" ref="C18:I18" si="1">(C17*$C$16)+4.2</f>
        <v>106.03000000000002</v>
      </c>
      <c r="D18">
        <f t="shared" si="1"/>
        <v>97.530000000000015</v>
      </c>
      <c r="E18">
        <f t="shared" si="1"/>
        <v>182.53</v>
      </c>
      <c r="F18">
        <f t="shared" si="1"/>
        <v>71.350000000000009</v>
      </c>
      <c r="G18">
        <f t="shared" si="1"/>
        <v>24.43</v>
      </c>
      <c r="H18">
        <f t="shared" si="1"/>
        <v>24.43</v>
      </c>
      <c r="I18">
        <f t="shared" si="1"/>
        <v>71.350000000000009</v>
      </c>
      <c r="J18">
        <f>(J17*$C$16)+4.2</f>
        <v>89.030000000000015</v>
      </c>
      <c r="K18" s="12">
        <f>SUM(C18:J18)</f>
        <v>666.68000000000006</v>
      </c>
    </row>
    <row r="19" spans="1:13" x14ac:dyDescent="0.3">
      <c r="B19" s="10" t="s">
        <v>32</v>
      </c>
      <c r="C19" s="12">
        <f>SUM(C17:C18)</f>
        <v>705.03</v>
      </c>
      <c r="D19" s="12">
        <f t="shared" ref="D19:J19" si="2">SUM(D17:D18)</f>
        <v>646.53</v>
      </c>
      <c r="E19" s="12">
        <f t="shared" si="2"/>
        <v>1231.53</v>
      </c>
      <c r="F19" s="12">
        <f t="shared" si="2"/>
        <v>466.35</v>
      </c>
      <c r="G19" s="12">
        <f t="shared" si="2"/>
        <v>143.43</v>
      </c>
      <c r="H19" s="12">
        <f t="shared" si="2"/>
        <v>143.43</v>
      </c>
      <c r="I19" s="12">
        <f t="shared" si="2"/>
        <v>466.35</v>
      </c>
      <c r="J19" s="12">
        <f t="shared" si="2"/>
        <v>588.03</v>
      </c>
      <c r="K19" s="12">
        <f>SUM(C19:J19)</f>
        <v>4390.6799999999994</v>
      </c>
    </row>
    <row r="20" spans="1:13" x14ac:dyDescent="0.3">
      <c r="B20" s="10"/>
      <c r="C20" s="12"/>
      <c r="D20" s="12"/>
      <c r="E20" s="12"/>
      <c r="F20" s="12"/>
      <c r="G20" s="12"/>
      <c r="H20" s="12"/>
      <c r="I20" s="12"/>
      <c r="J20" s="12"/>
      <c r="K20" s="12"/>
    </row>
    <row r="21" spans="1:13" x14ac:dyDescent="0.3">
      <c r="B21" s="10"/>
      <c r="C21" s="12"/>
      <c r="D21" s="12"/>
      <c r="E21" s="12"/>
      <c r="F21" s="12"/>
      <c r="G21" s="12"/>
      <c r="H21" s="12"/>
      <c r="I21" s="12"/>
      <c r="J21" s="12"/>
      <c r="K21" s="12"/>
    </row>
    <row r="22" spans="1:13" x14ac:dyDescent="0.3">
      <c r="B22" s="10"/>
      <c r="C22" s="12"/>
      <c r="D22" s="12"/>
      <c r="E22" s="12"/>
      <c r="F22" s="12"/>
      <c r="G22" s="12"/>
      <c r="H22" s="12"/>
      <c r="I22" s="12"/>
      <c r="J22" s="12"/>
      <c r="K22" s="12"/>
    </row>
    <row r="23" spans="1:13" x14ac:dyDescent="0.3">
      <c r="K23" s="6"/>
    </row>
    <row r="24" spans="1:13" ht="43.2" x14ac:dyDescent="0.3">
      <c r="B24" s="1" t="s">
        <v>25</v>
      </c>
      <c r="C24" s="1" t="s">
        <v>65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70</v>
      </c>
      <c r="I24" s="1" t="s">
        <v>14</v>
      </c>
      <c r="J24" s="1" t="s">
        <v>71</v>
      </c>
      <c r="K24" s="18" t="s">
        <v>26</v>
      </c>
      <c r="L24" s="1" t="s">
        <v>72</v>
      </c>
      <c r="M24" s="23" t="s">
        <v>73</v>
      </c>
    </row>
    <row r="25" spans="1:13" x14ac:dyDescent="0.3">
      <c r="A25" s="62" t="s">
        <v>24</v>
      </c>
      <c r="B25" t="s">
        <v>0</v>
      </c>
      <c r="C25">
        <f>C2*C$19</f>
        <v>0</v>
      </c>
      <c r="D25">
        <f t="shared" ref="D25:J25" si="3">D2*D$19</f>
        <v>0</v>
      </c>
      <c r="E25">
        <f t="shared" si="3"/>
        <v>1231.53</v>
      </c>
      <c r="F25">
        <f t="shared" si="3"/>
        <v>0</v>
      </c>
      <c r="G25">
        <f t="shared" si="3"/>
        <v>0</v>
      </c>
      <c r="H25">
        <f t="shared" si="3"/>
        <v>143.43</v>
      </c>
      <c r="I25">
        <f t="shared" si="3"/>
        <v>0</v>
      </c>
      <c r="J25">
        <f t="shared" si="3"/>
        <v>0</v>
      </c>
      <c r="K25" s="7">
        <f>SUM(C25:J25)</f>
        <v>1374.96</v>
      </c>
      <c r="M25" s="24"/>
    </row>
    <row r="26" spans="1:13" x14ac:dyDescent="0.3">
      <c r="A26" s="62"/>
      <c r="B26" t="s">
        <v>1</v>
      </c>
      <c r="C26">
        <f t="shared" ref="C26:J26" si="4">C3*C$19</f>
        <v>0</v>
      </c>
      <c r="D26">
        <f t="shared" si="4"/>
        <v>0</v>
      </c>
      <c r="E26">
        <f t="shared" si="4"/>
        <v>1231.53</v>
      </c>
      <c r="F26">
        <f t="shared" si="4"/>
        <v>0</v>
      </c>
      <c r="G26">
        <f t="shared" si="4"/>
        <v>143.43</v>
      </c>
      <c r="H26">
        <f t="shared" si="4"/>
        <v>0</v>
      </c>
      <c r="I26">
        <f t="shared" si="4"/>
        <v>0</v>
      </c>
      <c r="J26">
        <f t="shared" si="4"/>
        <v>0</v>
      </c>
      <c r="K26" s="7">
        <f t="shared" ref="K26:K34" si="5">SUM(C26:J26)</f>
        <v>1374.96</v>
      </c>
      <c r="L26">
        <f>$K$25/5</f>
        <v>274.99200000000002</v>
      </c>
      <c r="M26" s="22">
        <f>K26+L26</f>
        <v>1649.952</v>
      </c>
    </row>
    <row r="27" spans="1:13" x14ac:dyDescent="0.3">
      <c r="A27" s="62"/>
      <c r="B27" t="s">
        <v>4</v>
      </c>
      <c r="C27">
        <f t="shared" ref="C27:J27" si="6">C4*C$19</f>
        <v>705.03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466.35</v>
      </c>
      <c r="J27">
        <f t="shared" si="6"/>
        <v>0</v>
      </c>
      <c r="K27" s="7">
        <f t="shared" si="5"/>
        <v>1171.3800000000001</v>
      </c>
      <c r="L27">
        <f t="shared" ref="L27:L30" si="7">$K$25/5</f>
        <v>274.99200000000002</v>
      </c>
      <c r="M27" s="22">
        <f t="shared" ref="M27:M30" si="8">K27+L27</f>
        <v>1446.3720000000001</v>
      </c>
    </row>
    <row r="28" spans="1:13" x14ac:dyDescent="0.3">
      <c r="A28" s="62"/>
      <c r="B28" t="s">
        <v>9</v>
      </c>
      <c r="C28">
        <f t="shared" ref="C28:J28" si="9">C5*C$19</f>
        <v>0</v>
      </c>
      <c r="D28">
        <f t="shared" si="9"/>
        <v>646.53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588.03</v>
      </c>
      <c r="K28" s="7">
        <f t="shared" si="5"/>
        <v>1234.56</v>
      </c>
      <c r="L28">
        <f t="shared" si="7"/>
        <v>274.99200000000002</v>
      </c>
      <c r="M28" s="22">
        <f t="shared" si="8"/>
        <v>1509.5519999999999</v>
      </c>
    </row>
    <row r="29" spans="1:13" x14ac:dyDescent="0.3">
      <c r="A29" s="62"/>
      <c r="B29" t="s">
        <v>6</v>
      </c>
      <c r="C29">
        <f t="shared" ref="C29:J29" si="10">C6*C$19</f>
        <v>705.03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 s="7">
        <f t="shared" si="5"/>
        <v>705.03</v>
      </c>
      <c r="L29">
        <f t="shared" si="7"/>
        <v>274.99200000000002</v>
      </c>
      <c r="M29" s="22">
        <f t="shared" si="8"/>
        <v>980.02199999999993</v>
      </c>
    </row>
    <row r="30" spans="1:13" x14ac:dyDescent="0.3">
      <c r="A30" s="62"/>
      <c r="B30" t="s">
        <v>64</v>
      </c>
      <c r="C30">
        <f t="shared" ref="C30:J30" si="11">C7*C$19</f>
        <v>0</v>
      </c>
      <c r="D30">
        <f t="shared" si="11"/>
        <v>646.53</v>
      </c>
      <c r="E30">
        <f t="shared" si="11"/>
        <v>0</v>
      </c>
      <c r="F30">
        <f t="shared" si="11"/>
        <v>466.35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 s="7">
        <f t="shared" si="5"/>
        <v>1112.8800000000001</v>
      </c>
      <c r="L30">
        <f t="shared" si="7"/>
        <v>274.99200000000002</v>
      </c>
      <c r="M30" s="22">
        <f t="shared" si="8"/>
        <v>1387.8720000000001</v>
      </c>
    </row>
    <row r="31" spans="1:13" x14ac:dyDescent="0.3">
      <c r="A31" s="62"/>
      <c r="K31" s="7"/>
      <c r="M31" s="24"/>
    </row>
    <row r="32" spans="1:13" x14ac:dyDescent="0.3">
      <c r="A32" s="62"/>
      <c r="K32" s="7"/>
      <c r="M32" s="24"/>
    </row>
    <row r="33" spans="1:13" x14ac:dyDescent="0.3">
      <c r="A33" s="62"/>
      <c r="K33" s="7">
        <f>SUM(K25:K30)</f>
        <v>6973.77</v>
      </c>
      <c r="L33" s="7"/>
      <c r="M33" s="21"/>
    </row>
    <row r="34" spans="1:13" x14ac:dyDescent="0.3">
      <c r="B34" s="2" t="s">
        <v>26</v>
      </c>
      <c r="C34" s="2">
        <f t="shared" ref="C34:J34" si="12">SUM(C25:C33)</f>
        <v>1410.06</v>
      </c>
      <c r="D34" s="2">
        <f t="shared" si="12"/>
        <v>1293.06</v>
      </c>
      <c r="E34" s="2">
        <f t="shared" si="12"/>
        <v>2463.06</v>
      </c>
      <c r="F34" s="2">
        <f t="shared" si="12"/>
        <v>466.35</v>
      </c>
      <c r="G34" s="2">
        <f t="shared" si="12"/>
        <v>143.43</v>
      </c>
      <c r="H34" s="2">
        <f t="shared" si="12"/>
        <v>143.43</v>
      </c>
      <c r="I34" s="2">
        <f t="shared" si="12"/>
        <v>466.35</v>
      </c>
      <c r="J34" s="2">
        <f t="shared" si="12"/>
        <v>588.03</v>
      </c>
      <c r="K34" s="7">
        <f t="shared" si="5"/>
        <v>6973.7700000000013</v>
      </c>
      <c r="L34" s="7">
        <f t="shared" ref="L34:M34" si="13">SUM(L26:L31)</f>
        <v>1374.96</v>
      </c>
      <c r="M34" s="22">
        <f t="shared" si="13"/>
        <v>6973.77</v>
      </c>
    </row>
  </sheetData>
  <mergeCells count="2">
    <mergeCell ref="A2:A10"/>
    <mergeCell ref="A25:A33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2"/>
  <sheetViews>
    <sheetView topLeftCell="A10" workbookViewId="0">
      <selection activeCell="H28" activeCellId="3" sqref="H23:H24 H26 H27 H28"/>
    </sheetView>
  </sheetViews>
  <sheetFormatPr defaultRowHeight="14.4" x14ac:dyDescent="0.3"/>
  <sheetData>
    <row r="1" spans="1:5" x14ac:dyDescent="0.3">
      <c r="C1" s="28" t="s">
        <v>22</v>
      </c>
      <c r="D1" s="25" t="s">
        <v>23</v>
      </c>
    </row>
    <row r="2" spans="1:5" x14ac:dyDescent="0.3">
      <c r="B2" s="1" t="s">
        <v>25</v>
      </c>
      <c r="C2" s="1" t="s">
        <v>100</v>
      </c>
      <c r="D2" s="1" t="s">
        <v>101</v>
      </c>
      <c r="E2" s="3" t="s">
        <v>26</v>
      </c>
    </row>
    <row r="3" spans="1:5" x14ac:dyDescent="0.3">
      <c r="A3" s="62" t="s">
        <v>24</v>
      </c>
      <c r="B3" t="s">
        <v>0</v>
      </c>
      <c r="D3">
        <v>1</v>
      </c>
      <c r="E3" s="2">
        <f>SUM(Table117[[#This Row],[Sprite]:[Iftaar]])</f>
        <v>1</v>
      </c>
    </row>
    <row r="4" spans="1:5" x14ac:dyDescent="0.3">
      <c r="A4" s="62"/>
      <c r="B4" t="s">
        <v>1</v>
      </c>
      <c r="D4">
        <v>1</v>
      </c>
      <c r="E4" s="2">
        <f>SUM(Table117[[#This Row],[Sprite]:[Iftaar]])</f>
        <v>1</v>
      </c>
    </row>
    <row r="5" spans="1:5" x14ac:dyDescent="0.3">
      <c r="A5" s="62"/>
      <c r="B5" t="s">
        <v>99</v>
      </c>
      <c r="D5">
        <v>1</v>
      </c>
      <c r="E5" s="2">
        <f>SUM(Table117[[#This Row],[Sprite]:[Iftaar]])</f>
        <v>1</v>
      </c>
    </row>
    <row r="6" spans="1:5" x14ac:dyDescent="0.3">
      <c r="A6" s="62"/>
      <c r="B6" t="s">
        <v>9</v>
      </c>
      <c r="D6" s="4">
        <v>1</v>
      </c>
      <c r="E6" s="2">
        <f>SUM(Table117[[#This Row],[Sprite]:[Iftaar]])</f>
        <v>1</v>
      </c>
    </row>
    <row r="7" spans="1:5" x14ac:dyDescent="0.3">
      <c r="A7" s="62"/>
      <c r="B7" t="s">
        <v>6</v>
      </c>
      <c r="C7">
        <v>1</v>
      </c>
      <c r="D7">
        <v>2</v>
      </c>
      <c r="E7" s="2">
        <f>SUM(Table117[[#This Row],[Sprite]:[Iftaar]])</f>
        <v>3</v>
      </c>
    </row>
    <row r="8" spans="1:5" x14ac:dyDescent="0.3">
      <c r="A8" s="62"/>
      <c r="B8" t="s">
        <v>7</v>
      </c>
      <c r="D8">
        <v>1</v>
      </c>
      <c r="E8" s="2">
        <f>SUM(Table117[[#This Row],[Sprite]:[Iftaar]])</f>
        <v>1</v>
      </c>
    </row>
    <row r="9" spans="1:5" x14ac:dyDescent="0.3">
      <c r="A9" s="62"/>
      <c r="B9" t="s">
        <v>89</v>
      </c>
      <c r="D9">
        <v>1</v>
      </c>
      <c r="E9" s="2">
        <f>SUM(Table117[[#This Row],[Sprite]:[Iftaar]])</f>
        <v>1</v>
      </c>
    </row>
    <row r="10" spans="1:5" x14ac:dyDescent="0.3">
      <c r="A10" s="62"/>
      <c r="E10" s="2">
        <f>SUM(Table117[[#This Row],[Sprite]:[Iftaar]])</f>
        <v>0</v>
      </c>
    </row>
    <row r="11" spans="1:5" x14ac:dyDescent="0.3">
      <c r="A11" s="62"/>
      <c r="E11" s="2">
        <f>SUM(Table117[[#This Row],[Sprite]:[Iftaar]])</f>
        <v>0</v>
      </c>
    </row>
    <row r="12" spans="1:5" x14ac:dyDescent="0.3">
      <c r="A12" s="62"/>
      <c r="E12" s="2">
        <f>SUM(Table117[[#This Row],[Sprite]:[Iftaar]])</f>
        <v>0</v>
      </c>
    </row>
    <row r="13" spans="1:5" x14ac:dyDescent="0.3">
      <c r="B13" s="2" t="s">
        <v>26</v>
      </c>
      <c r="C13" s="2">
        <f>SUM(C3:C12)</f>
        <v>1</v>
      </c>
      <c r="D13" s="2">
        <f t="shared" ref="D13" si="0">SUM(D3:D12)</f>
        <v>8</v>
      </c>
      <c r="E13" s="2">
        <f>SUM(Table117[[#This Row],[Sprite]:[Iftaar]])</f>
        <v>9</v>
      </c>
    </row>
    <row r="15" spans="1:5" x14ac:dyDescent="0.3">
      <c r="B15" s="10" t="s">
        <v>29</v>
      </c>
      <c r="C15" s="5">
        <v>0</v>
      </c>
    </row>
    <row r="16" spans="1:5" x14ac:dyDescent="0.3">
      <c r="B16" s="10" t="s">
        <v>30</v>
      </c>
      <c r="C16" s="11">
        <v>120</v>
      </c>
      <c r="D16" s="11">
        <v>1600</v>
      </c>
    </row>
    <row r="17" spans="1:8" x14ac:dyDescent="0.3">
      <c r="B17" s="10" t="s">
        <v>31</v>
      </c>
      <c r="C17">
        <f t="shared" ref="C17:D17" si="1">C16*$C$15</f>
        <v>0</v>
      </c>
      <c r="D17">
        <f t="shared" si="1"/>
        <v>0</v>
      </c>
    </row>
    <row r="18" spans="1:8" x14ac:dyDescent="0.3">
      <c r="B18" s="10" t="s">
        <v>32</v>
      </c>
      <c r="C18" s="12">
        <f>SUM(C16:C17)</f>
        <v>120</v>
      </c>
      <c r="D18" s="12">
        <f t="shared" ref="D18" si="2">SUM(D16:D17)</f>
        <v>1600</v>
      </c>
    </row>
    <row r="20" spans="1:8" x14ac:dyDescent="0.3">
      <c r="C20" s="28" t="s">
        <v>22</v>
      </c>
      <c r="D20" s="25" t="s">
        <v>23</v>
      </c>
    </row>
    <row r="21" spans="1:8" ht="43.2" x14ac:dyDescent="0.3">
      <c r="B21" s="1" t="s">
        <v>25</v>
      </c>
      <c r="C21" s="1" t="s">
        <v>100</v>
      </c>
      <c r="D21" s="1" t="s">
        <v>101</v>
      </c>
      <c r="E21" s="3" t="s">
        <v>26</v>
      </c>
      <c r="F21" s="1" t="s">
        <v>102</v>
      </c>
      <c r="G21" s="8" t="s">
        <v>34</v>
      </c>
      <c r="H21" s="1" t="s">
        <v>35</v>
      </c>
    </row>
    <row r="22" spans="1:8" x14ac:dyDescent="0.3">
      <c r="A22" s="62" t="s">
        <v>24</v>
      </c>
      <c r="B22" t="s">
        <v>0</v>
      </c>
      <c r="C22" s="6">
        <f>C3*C$18</f>
        <v>0</v>
      </c>
      <c r="D22" s="6">
        <f>D3*D$18</f>
        <v>1600</v>
      </c>
      <c r="E22" s="7">
        <f>SUM(Table1318[[#This Row],[Sprite]:[Iftaar]])</f>
        <v>1600</v>
      </c>
      <c r="F22" s="6">
        <v>162.5</v>
      </c>
      <c r="G22" s="7">
        <f>SUM(Table1318[[#This Row],[Total]:[Service Charges]])</f>
        <v>1762.5</v>
      </c>
      <c r="H22">
        <v>1763</v>
      </c>
    </row>
    <row r="23" spans="1:8" x14ac:dyDescent="0.3">
      <c r="A23" s="62"/>
      <c r="B23" t="s">
        <v>1</v>
      </c>
      <c r="C23" s="6">
        <f t="shared" ref="C23:D23" si="3">C4*C$18</f>
        <v>0</v>
      </c>
      <c r="D23" s="6">
        <f t="shared" si="3"/>
        <v>1600</v>
      </c>
      <c r="E23" s="7">
        <f>SUM(Table1318[[#This Row],[Sprite]:[Iftaar]])</f>
        <v>1600</v>
      </c>
      <c r="F23" s="6">
        <v>162.5</v>
      </c>
      <c r="G23" s="7">
        <f>SUM(Table1318[[#This Row],[Total]:[Service Charges]])</f>
        <v>1762.5</v>
      </c>
      <c r="H23">
        <v>1762</v>
      </c>
    </row>
    <row r="24" spans="1:8" x14ac:dyDescent="0.3">
      <c r="A24" s="62"/>
      <c r="B24" t="s">
        <v>99</v>
      </c>
      <c r="C24" s="6">
        <f t="shared" ref="C24:D24" si="4">C5*C$18</f>
        <v>0</v>
      </c>
      <c r="D24" s="6">
        <f t="shared" si="4"/>
        <v>1600</v>
      </c>
      <c r="E24" s="7">
        <f>SUM(Table1318[[#This Row],[Sprite]:[Iftaar]])</f>
        <v>1600</v>
      </c>
      <c r="F24" s="6">
        <v>162.5</v>
      </c>
      <c r="G24" s="7">
        <f>SUM(Table1318[[#This Row],[Total]:[Service Charges]])</f>
        <v>1762.5</v>
      </c>
      <c r="H24">
        <v>1770</v>
      </c>
    </row>
    <row r="25" spans="1:8" x14ac:dyDescent="0.3">
      <c r="A25" s="62"/>
      <c r="B25" t="s">
        <v>9</v>
      </c>
      <c r="C25" s="6">
        <f t="shared" ref="C25:D25" si="5">C6*C$18</f>
        <v>0</v>
      </c>
      <c r="D25" s="6">
        <f t="shared" si="5"/>
        <v>1600</v>
      </c>
      <c r="E25" s="7">
        <f>SUM(Table1318[[#This Row],[Sprite]:[Iftaar]])</f>
        <v>1600</v>
      </c>
      <c r="F25" s="6">
        <v>162.5</v>
      </c>
      <c r="G25" s="7">
        <f>SUM(Table1318[[#This Row],[Total]:[Service Charges]])</f>
        <v>1762.5</v>
      </c>
      <c r="H25">
        <v>1763</v>
      </c>
    </row>
    <row r="26" spans="1:8" x14ac:dyDescent="0.3">
      <c r="A26" s="62"/>
      <c r="B26" t="s">
        <v>6</v>
      </c>
      <c r="C26" s="6">
        <f t="shared" ref="C26:D26" si="6">C7*C$18</f>
        <v>120</v>
      </c>
      <c r="D26" s="6">
        <f t="shared" si="6"/>
        <v>3200</v>
      </c>
      <c r="E26" s="7">
        <f>SUM(Table1318[[#This Row],[Sprite]:[Iftaar]])</f>
        <v>3320</v>
      </c>
      <c r="F26" s="6">
        <f>162.5*2</f>
        <v>325</v>
      </c>
      <c r="G26" s="7">
        <f>SUM(Table1318[[#This Row],[Total]:[Service Charges]])</f>
        <v>3645</v>
      </c>
      <c r="H26">
        <v>3645</v>
      </c>
    </row>
    <row r="27" spans="1:8" x14ac:dyDescent="0.3">
      <c r="A27" s="62"/>
      <c r="B27" t="s">
        <v>7</v>
      </c>
      <c r="C27" s="6">
        <f t="shared" ref="C27:D28" si="7">C8*C$18</f>
        <v>0</v>
      </c>
      <c r="D27" s="6">
        <f t="shared" si="7"/>
        <v>1600</v>
      </c>
      <c r="E27" s="7">
        <f>SUM(Table1318[[#This Row],[Sprite]:[Iftaar]])</f>
        <v>1600</v>
      </c>
      <c r="F27" s="6">
        <v>162.5</v>
      </c>
      <c r="G27" s="7">
        <f>SUM(Table1318[[#This Row],[Total]:[Service Charges]])</f>
        <v>1762.5</v>
      </c>
      <c r="H27">
        <v>1762</v>
      </c>
    </row>
    <row r="28" spans="1:8" x14ac:dyDescent="0.3">
      <c r="A28" s="62"/>
      <c r="B28" t="s">
        <v>89</v>
      </c>
      <c r="C28" s="6">
        <f t="shared" si="7"/>
        <v>0</v>
      </c>
      <c r="D28" s="6">
        <f t="shared" si="7"/>
        <v>1600</v>
      </c>
      <c r="E28" s="7">
        <f>SUM(Table1318[[#This Row],[Sprite]:[Iftaar]])</f>
        <v>1600</v>
      </c>
      <c r="F28" s="6">
        <v>162.5</v>
      </c>
      <c r="G28" s="7">
        <f>SUM(Table1318[[#This Row],[Total]:[Service Charges]])</f>
        <v>1762.5</v>
      </c>
      <c r="H28">
        <v>1763</v>
      </c>
    </row>
    <row r="29" spans="1:8" x14ac:dyDescent="0.3">
      <c r="A29" s="62"/>
      <c r="C29" s="6"/>
      <c r="D29" s="6"/>
      <c r="E29" s="7"/>
      <c r="F29" s="6"/>
      <c r="G29" s="7"/>
    </row>
    <row r="30" spans="1:8" x14ac:dyDescent="0.3">
      <c r="A30" s="62"/>
      <c r="C30" s="6"/>
      <c r="D30" s="6"/>
      <c r="E30" s="7"/>
      <c r="F30" s="6"/>
      <c r="G30" s="7"/>
    </row>
    <row r="31" spans="1:8" x14ac:dyDescent="0.3">
      <c r="A31" s="62"/>
      <c r="C31" s="6"/>
      <c r="D31" s="6"/>
      <c r="E31" s="7"/>
      <c r="F31" s="6"/>
      <c r="G31" s="7"/>
    </row>
    <row r="32" spans="1:8" x14ac:dyDescent="0.3">
      <c r="B32" s="2" t="s">
        <v>26</v>
      </c>
      <c r="C32" s="2">
        <f>SUM(C22:C31)</f>
        <v>120</v>
      </c>
      <c r="D32" s="2">
        <f t="shared" ref="D32" si="8">SUM(D22:D31)</f>
        <v>12800</v>
      </c>
      <c r="E32" s="7">
        <f>SUM(E22:E31)</f>
        <v>12920</v>
      </c>
      <c r="F32" s="6"/>
      <c r="G32" s="9">
        <f t="shared" ref="G32:H32" si="9">SUM(G22:G31)</f>
        <v>14220</v>
      </c>
      <c r="H32" s="9">
        <f t="shared" si="9"/>
        <v>14228</v>
      </c>
    </row>
  </sheetData>
  <mergeCells count="2">
    <mergeCell ref="A3:A12"/>
    <mergeCell ref="A22:A31"/>
  </mergeCells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4"/>
  <sheetViews>
    <sheetView topLeftCell="A33" workbookViewId="0">
      <selection sqref="A1:I35"/>
    </sheetView>
  </sheetViews>
  <sheetFormatPr defaultRowHeight="14.4" x14ac:dyDescent="0.3"/>
  <cols>
    <col min="6" max="6" width="10.6640625" customWidth="1"/>
  </cols>
  <sheetData>
    <row r="1" spans="1:16" ht="28.8" x14ac:dyDescent="0.3">
      <c r="B1" s="1" t="s">
        <v>25</v>
      </c>
      <c r="C1" s="1" t="s">
        <v>75</v>
      </c>
      <c r="D1" s="1" t="s">
        <v>76</v>
      </c>
      <c r="E1" s="1" t="s">
        <v>78</v>
      </c>
      <c r="F1" s="1" t="s">
        <v>79</v>
      </c>
      <c r="G1" s="1" t="s">
        <v>80</v>
      </c>
      <c r="H1" s="18" t="s">
        <v>26</v>
      </c>
    </row>
    <row r="2" spans="1:16" x14ac:dyDescent="0.3">
      <c r="A2" s="62" t="s">
        <v>24</v>
      </c>
      <c r="B2" t="s">
        <v>1</v>
      </c>
      <c r="D2">
        <v>1</v>
      </c>
      <c r="H2" s="7">
        <f>SUM(Table146910[[#This Row],[tomato pasta]:[Club Sandwich]])</f>
        <v>1</v>
      </c>
    </row>
    <row r="3" spans="1:16" x14ac:dyDescent="0.3">
      <c r="A3" s="62"/>
      <c r="B3" t="s">
        <v>4</v>
      </c>
      <c r="E3">
        <v>1</v>
      </c>
      <c r="H3" s="7">
        <f>SUM(Table146910[[#This Row],[tomato pasta]:[Club Sandwich]])</f>
        <v>1</v>
      </c>
    </row>
    <row r="4" spans="1:16" x14ac:dyDescent="0.3">
      <c r="A4" s="62"/>
      <c r="B4" t="s">
        <v>9</v>
      </c>
      <c r="G4">
        <v>1</v>
      </c>
      <c r="H4" s="7">
        <f>SUM(Table146910[[#This Row],[tomato pasta]:[Club Sandwich]])</f>
        <v>1</v>
      </c>
    </row>
    <row r="5" spans="1:16" x14ac:dyDescent="0.3">
      <c r="A5" s="62"/>
      <c r="B5" t="s">
        <v>6</v>
      </c>
      <c r="F5">
        <v>1</v>
      </c>
      <c r="H5" s="7">
        <f>SUM(Table146910[[#This Row],[tomato pasta]:[Club Sandwich]])</f>
        <v>1</v>
      </c>
    </row>
    <row r="6" spans="1:16" x14ac:dyDescent="0.3">
      <c r="A6" s="62"/>
      <c r="B6" t="s">
        <v>74</v>
      </c>
      <c r="C6">
        <v>1</v>
      </c>
      <c r="H6" s="7">
        <f>SUM(Table146910[[#This Row],[tomato pasta]:[Club Sandwich]])</f>
        <v>1</v>
      </c>
    </row>
    <row r="7" spans="1:16" x14ac:dyDescent="0.3">
      <c r="A7" s="62"/>
      <c r="B7" t="s">
        <v>77</v>
      </c>
      <c r="D7">
        <v>1</v>
      </c>
      <c r="H7" s="7">
        <f>SUM(Table146910[[#This Row],[tomato pasta]:[Club Sandwich]])</f>
        <v>1</v>
      </c>
    </row>
    <row r="8" spans="1:16" x14ac:dyDescent="0.3">
      <c r="A8" s="62"/>
      <c r="H8" s="7">
        <f>SUM(Table146910[[#This Row],[tomato pasta]:[Club Sandwich]])</f>
        <v>0</v>
      </c>
    </row>
    <row r="9" spans="1:16" x14ac:dyDescent="0.3">
      <c r="A9" s="62"/>
      <c r="H9" s="7">
        <f>SUM(Table146910[[#This Row],[tomato pasta]:[Club Sandwich]])</f>
        <v>0</v>
      </c>
    </row>
    <row r="10" spans="1:16" x14ac:dyDescent="0.3">
      <c r="A10" s="62"/>
      <c r="H10" s="7">
        <f>SUM(Table146910[[#This Row],[tomato pasta]:[Club Sandwich]])</f>
        <v>0</v>
      </c>
    </row>
    <row r="11" spans="1:16" x14ac:dyDescent="0.3">
      <c r="B11" s="2" t="s">
        <v>26</v>
      </c>
      <c r="C11" s="2">
        <f>SUM(C2:C10)</f>
        <v>1</v>
      </c>
      <c r="D11" s="2">
        <f>SUM(D2:D10)</f>
        <v>2</v>
      </c>
      <c r="E11" s="2">
        <f>SUM(E2:E10)</f>
        <v>1</v>
      </c>
      <c r="F11" s="2">
        <f>SUM(F2:F10)</f>
        <v>1</v>
      </c>
      <c r="G11" s="2">
        <f>SUM(G2:G10)</f>
        <v>1</v>
      </c>
      <c r="H11" s="7">
        <f>SUM(Table146910[[#This Row],[tomato pasta]:[Club Sandwich]])</f>
        <v>6</v>
      </c>
    </row>
    <row r="12" spans="1:16" x14ac:dyDescent="0.3">
      <c r="H12" s="19"/>
    </row>
    <row r="13" spans="1:16" x14ac:dyDescent="0.3">
      <c r="H13" s="19"/>
    </row>
    <row r="14" spans="1:16" x14ac:dyDescent="0.3">
      <c r="H14" s="19"/>
      <c r="N14">
        <v>1388</v>
      </c>
    </row>
    <row r="15" spans="1:16" x14ac:dyDescent="0.3">
      <c r="H15" s="19"/>
      <c r="N15">
        <v>1065</v>
      </c>
    </row>
    <row r="16" spans="1:16" x14ac:dyDescent="0.3">
      <c r="B16" s="10" t="s">
        <v>29</v>
      </c>
      <c r="C16" s="5">
        <v>0.17</v>
      </c>
      <c r="D16" s="17"/>
      <c r="H16" s="6"/>
      <c r="N16">
        <f>SUM(N14:N15)</f>
        <v>2453</v>
      </c>
      <c r="O16">
        <v>2046</v>
      </c>
      <c r="P16">
        <f>N16-O16</f>
        <v>407</v>
      </c>
    </row>
    <row r="17" spans="1:15" x14ac:dyDescent="0.3">
      <c r="B17" s="10" t="s">
        <v>30</v>
      </c>
      <c r="C17" s="11">
        <v>765</v>
      </c>
      <c r="D17" s="11">
        <v>1050</v>
      </c>
      <c r="E17" s="11">
        <v>760</v>
      </c>
      <c r="F17" s="11">
        <v>865</v>
      </c>
      <c r="G17" s="11">
        <v>910</v>
      </c>
      <c r="H17" s="12">
        <f>SUM(C17:G17)</f>
        <v>4350</v>
      </c>
      <c r="N17">
        <v>32046</v>
      </c>
    </row>
    <row r="18" spans="1:15" x14ac:dyDescent="0.3">
      <c r="B18" s="10" t="s">
        <v>31</v>
      </c>
      <c r="C18">
        <f>(C17*$C$16)</f>
        <v>130.05000000000001</v>
      </c>
      <c r="D18">
        <f t="shared" ref="D18:G18" si="0">(D17*$C$16)</f>
        <v>178.5</v>
      </c>
      <c r="E18">
        <f t="shared" si="0"/>
        <v>129.20000000000002</v>
      </c>
      <c r="F18">
        <f t="shared" si="0"/>
        <v>147.05000000000001</v>
      </c>
      <c r="G18">
        <f t="shared" si="0"/>
        <v>154.70000000000002</v>
      </c>
      <c r="H18" s="12">
        <f>SUM(C18:G18)</f>
        <v>739.5</v>
      </c>
      <c r="N18">
        <f>N17-N16</f>
        <v>29593</v>
      </c>
      <c r="O18">
        <f>N17-O16</f>
        <v>30000</v>
      </c>
    </row>
    <row r="19" spans="1:15" x14ac:dyDescent="0.3">
      <c r="B19" s="10" t="s">
        <v>32</v>
      </c>
      <c r="C19" s="12">
        <f>SUM(C17:C18)</f>
        <v>895.05</v>
      </c>
      <c r="D19" s="12">
        <f t="shared" ref="D19:G19" si="1">SUM(D17:D18)</f>
        <v>1228.5</v>
      </c>
      <c r="E19" s="12">
        <f t="shared" si="1"/>
        <v>889.2</v>
      </c>
      <c r="F19" s="12">
        <f t="shared" si="1"/>
        <v>1012.05</v>
      </c>
      <c r="G19" s="12">
        <f t="shared" si="1"/>
        <v>1064.7</v>
      </c>
      <c r="H19" s="12">
        <f>SUM(C19:G19)</f>
        <v>5089.5</v>
      </c>
    </row>
    <row r="20" spans="1:15" x14ac:dyDescent="0.3">
      <c r="B20" s="10"/>
      <c r="C20" s="12"/>
      <c r="D20" s="12"/>
      <c r="E20" s="12"/>
      <c r="F20" s="12"/>
      <c r="G20" s="12"/>
      <c r="H20" s="12"/>
    </row>
    <row r="21" spans="1:15" x14ac:dyDescent="0.3">
      <c r="B21" s="10"/>
      <c r="C21" s="12"/>
      <c r="D21" s="12"/>
      <c r="E21" s="12"/>
      <c r="F21" s="12"/>
      <c r="G21" s="12"/>
      <c r="H21" s="12"/>
    </row>
    <row r="22" spans="1:15" x14ac:dyDescent="0.3">
      <c r="B22" s="10"/>
      <c r="C22" s="12"/>
      <c r="D22" s="12"/>
      <c r="E22" s="12"/>
      <c r="F22" s="12"/>
      <c r="G22" s="12"/>
      <c r="H22" s="12"/>
    </row>
    <row r="23" spans="1:15" x14ac:dyDescent="0.3">
      <c r="H23" s="6"/>
    </row>
    <row r="24" spans="1:15" ht="43.8" thickBot="1" x14ac:dyDescent="0.35">
      <c r="B24" s="1" t="s">
        <v>25</v>
      </c>
      <c r="C24" s="16" t="s">
        <v>75</v>
      </c>
      <c r="D24" s="16" t="s">
        <v>76</v>
      </c>
      <c r="E24" s="16" t="s">
        <v>78</v>
      </c>
      <c r="F24" s="16" t="s">
        <v>79</v>
      </c>
      <c r="G24" s="16" t="s">
        <v>80</v>
      </c>
      <c r="H24" s="18" t="s">
        <v>26</v>
      </c>
    </row>
    <row r="25" spans="1:15" x14ac:dyDescent="0.3">
      <c r="A25" s="62" t="s">
        <v>24</v>
      </c>
      <c r="B25" s="14" t="s">
        <v>1</v>
      </c>
      <c r="C25">
        <f>C2*C$19</f>
        <v>0</v>
      </c>
      <c r="D25">
        <f>D2*D$19</f>
        <v>1228.5</v>
      </c>
      <c r="E25">
        <f>E2*E$19</f>
        <v>0</v>
      </c>
      <c r="F25">
        <f>F2*F$19</f>
        <v>0</v>
      </c>
      <c r="G25">
        <f>G2*G$19</f>
        <v>0</v>
      </c>
      <c r="H25" s="7">
        <f t="shared" ref="H25:H30" si="2">SUM(C25:G25)</f>
        <v>1228.5</v>
      </c>
    </row>
    <row r="26" spans="1:15" x14ac:dyDescent="0.3">
      <c r="A26" s="62"/>
      <c r="B26" s="15" t="s">
        <v>4</v>
      </c>
      <c r="C26">
        <f t="shared" ref="C26:G30" si="3">C3*C$19</f>
        <v>0</v>
      </c>
      <c r="D26">
        <f t="shared" si="3"/>
        <v>0</v>
      </c>
      <c r="E26">
        <f t="shared" si="3"/>
        <v>889.2</v>
      </c>
      <c r="F26">
        <f t="shared" si="3"/>
        <v>0</v>
      </c>
      <c r="G26">
        <f t="shared" si="3"/>
        <v>0</v>
      </c>
      <c r="H26" s="7">
        <f t="shared" si="2"/>
        <v>889.2</v>
      </c>
    </row>
    <row r="27" spans="1:15" x14ac:dyDescent="0.3">
      <c r="A27" s="62"/>
      <c r="B27" s="14" t="s">
        <v>9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1064.7</v>
      </c>
      <c r="H27" s="7">
        <f t="shared" si="2"/>
        <v>1064.7</v>
      </c>
    </row>
    <row r="28" spans="1:15" x14ac:dyDescent="0.3">
      <c r="A28" s="62"/>
      <c r="B28" s="15" t="s">
        <v>6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1012.05</v>
      </c>
      <c r="G28">
        <f t="shared" si="3"/>
        <v>0</v>
      </c>
      <c r="H28" s="7">
        <f t="shared" si="2"/>
        <v>1012.05</v>
      </c>
    </row>
    <row r="29" spans="1:15" x14ac:dyDescent="0.3">
      <c r="A29" s="62"/>
      <c r="B29" s="14" t="s">
        <v>74</v>
      </c>
      <c r="C29">
        <f t="shared" si="3"/>
        <v>895.05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 s="7">
        <f t="shared" si="2"/>
        <v>895.05</v>
      </c>
    </row>
    <row r="30" spans="1:15" x14ac:dyDescent="0.3">
      <c r="A30" s="62"/>
      <c r="C30">
        <f t="shared" si="3"/>
        <v>0</v>
      </c>
      <c r="D30">
        <f t="shared" si="3"/>
        <v>1228.5</v>
      </c>
      <c r="E30">
        <f t="shared" si="3"/>
        <v>0</v>
      </c>
      <c r="F30">
        <f t="shared" si="3"/>
        <v>0</v>
      </c>
      <c r="G30">
        <f t="shared" si="3"/>
        <v>0</v>
      </c>
      <c r="H30" s="7">
        <f t="shared" si="2"/>
        <v>1228.5</v>
      </c>
    </row>
    <row r="31" spans="1:15" x14ac:dyDescent="0.3">
      <c r="A31" s="62"/>
      <c r="H31" s="7"/>
    </row>
    <row r="32" spans="1:15" x14ac:dyDescent="0.3">
      <c r="A32" s="62"/>
      <c r="H32" s="7"/>
    </row>
    <row r="33" spans="1:8" x14ac:dyDescent="0.3">
      <c r="A33" s="62"/>
      <c r="H33" s="7">
        <f>SUM(H25:H30)</f>
        <v>6318</v>
      </c>
    </row>
    <row r="34" spans="1:8" x14ac:dyDescent="0.3">
      <c r="B34" s="2" t="s">
        <v>26</v>
      </c>
      <c r="C34" s="2">
        <f>SUM(C25:C33)</f>
        <v>895.05</v>
      </c>
      <c r="D34" s="2">
        <f>SUM(D25:D33)</f>
        <v>2457</v>
      </c>
      <c r="E34" s="2">
        <f>SUM(E25:E33)</f>
        <v>889.2</v>
      </c>
      <c r="F34" s="2">
        <f>SUM(F25:F33)</f>
        <v>1012.05</v>
      </c>
      <c r="G34" s="2">
        <f>SUM(G25:G33)</f>
        <v>1064.7</v>
      </c>
      <c r="H34" s="7">
        <f>SUM(C34:G34)</f>
        <v>6318</v>
      </c>
    </row>
  </sheetData>
  <mergeCells count="2">
    <mergeCell ref="A2:A10"/>
    <mergeCell ref="A25:A3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7E16-2686-4D91-A3A1-2BE320FA80BD}">
  <dimension ref="A2:H6"/>
  <sheetViews>
    <sheetView workbookViewId="0">
      <selection activeCell="D12" sqref="D12"/>
    </sheetView>
  </sheetViews>
  <sheetFormatPr defaultRowHeight="14.4" x14ac:dyDescent="0.3"/>
  <cols>
    <col min="3" max="3" width="11.88671875" customWidth="1"/>
    <col min="4" max="4" width="14.44140625" customWidth="1"/>
    <col min="5" max="5" width="12.5546875" bestFit="1" customWidth="1"/>
    <col min="6" max="6" width="13.44140625" customWidth="1"/>
  </cols>
  <sheetData>
    <row r="2" spans="1:8" x14ac:dyDescent="0.3">
      <c r="B2" s="1"/>
      <c r="C2" s="1"/>
      <c r="D2" s="1"/>
      <c r="E2" s="1"/>
      <c r="F2" s="8"/>
      <c r="G2" s="8"/>
      <c r="H2" s="1"/>
    </row>
    <row r="3" spans="1:8" x14ac:dyDescent="0.3">
      <c r="A3" s="62"/>
      <c r="C3" s="26"/>
      <c r="D3" s="26"/>
      <c r="E3" s="26"/>
      <c r="F3" s="27"/>
      <c r="G3" s="27"/>
      <c r="H3" s="26"/>
    </row>
    <row r="4" spans="1:8" x14ac:dyDescent="0.3">
      <c r="A4" s="62"/>
      <c r="B4" s="29"/>
      <c r="C4" s="26"/>
      <c r="D4" s="26"/>
      <c r="E4" s="26"/>
      <c r="F4" s="27"/>
      <c r="G4" s="27"/>
      <c r="H4" s="26"/>
    </row>
    <row r="5" spans="1:8" x14ac:dyDescent="0.3">
      <c r="A5" s="62"/>
      <c r="C5" s="26"/>
      <c r="D5" s="26"/>
      <c r="E5" s="26"/>
      <c r="F5" s="27"/>
      <c r="G5" s="27"/>
      <c r="H5" s="26"/>
    </row>
    <row r="6" spans="1:8" x14ac:dyDescent="0.3">
      <c r="B6" s="2"/>
      <c r="C6" s="2"/>
      <c r="D6" s="2"/>
      <c r="E6" s="2"/>
      <c r="F6" s="59"/>
      <c r="G6" s="27"/>
      <c r="H6" s="27"/>
    </row>
  </sheetData>
  <mergeCells count="1">
    <mergeCell ref="A3:A5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selection activeCell="N17" sqref="N17"/>
    </sheetView>
  </sheetViews>
  <sheetFormatPr defaultRowHeight="14.4" x14ac:dyDescent="0.3"/>
  <cols>
    <col min="2" max="2" width="16.109375" bestFit="1" customWidth="1"/>
    <col min="3" max="3" width="13.5546875" bestFit="1" customWidth="1"/>
    <col min="6" max="6" width="13.5546875" bestFit="1" customWidth="1"/>
    <col min="8" max="8" width="9.109375" customWidth="1"/>
    <col min="12" max="13" width="13.5546875" bestFit="1" customWidth="1"/>
    <col min="16" max="16" width="0" hidden="1" customWidth="1"/>
  </cols>
  <sheetData>
    <row r="1" spans="1:12" x14ac:dyDescent="0.3">
      <c r="C1" s="61" t="s">
        <v>23</v>
      </c>
      <c r="D1" s="61"/>
      <c r="E1" s="61"/>
    </row>
    <row r="2" spans="1:12" ht="28.8" x14ac:dyDescent="0.3">
      <c r="B2" s="1" t="s">
        <v>25</v>
      </c>
      <c r="C2" s="1" t="s">
        <v>254</v>
      </c>
      <c r="D2" s="1" t="s">
        <v>259</v>
      </c>
      <c r="E2" s="1" t="s">
        <v>260</v>
      </c>
      <c r="F2" s="3" t="s">
        <v>26</v>
      </c>
      <c r="G2" s="3"/>
    </row>
    <row r="3" spans="1:12" x14ac:dyDescent="0.3">
      <c r="A3" s="62" t="s">
        <v>24</v>
      </c>
      <c r="B3" t="s">
        <v>4</v>
      </c>
      <c r="C3" s="6">
        <v>1</v>
      </c>
      <c r="D3" s="6"/>
      <c r="E3" s="6"/>
      <c r="F3" s="2">
        <f>SUM(Table12123274446[[#This Row],[Mushroom Steak]:[Frecnh Burger]])</f>
        <v>1</v>
      </c>
      <c r="G3" s="2"/>
    </row>
    <row r="4" spans="1:12" x14ac:dyDescent="0.3">
      <c r="A4" s="62"/>
      <c r="B4" s="29" t="s">
        <v>9</v>
      </c>
      <c r="C4" s="29"/>
      <c r="D4" s="29"/>
      <c r="E4" s="29">
        <v>1</v>
      </c>
      <c r="F4" s="29">
        <f>SUM(Table12123274446[[#This Row],[Mushroom Steak]:[Frecnh Burger]])</f>
        <v>1</v>
      </c>
      <c r="G4" s="2"/>
    </row>
    <row r="5" spans="1:12" x14ac:dyDescent="0.3">
      <c r="A5" s="62"/>
      <c r="B5" t="s">
        <v>216</v>
      </c>
      <c r="C5" s="6"/>
      <c r="D5" s="6">
        <v>1</v>
      </c>
      <c r="E5" s="6"/>
      <c r="F5" s="2">
        <f>SUM(Table12123274446[[#This Row],[Mushroom Steak]:[Frecnh Burger]])</f>
        <v>1</v>
      </c>
      <c r="G5" s="2"/>
    </row>
    <row r="6" spans="1:12" x14ac:dyDescent="0.3">
      <c r="B6" s="2" t="s">
        <v>26</v>
      </c>
      <c r="C6" s="2">
        <f>SUM(C3:C5)</f>
        <v>1</v>
      </c>
      <c r="D6" s="2">
        <f>SUM(D3:D5)</f>
        <v>1</v>
      </c>
      <c r="E6" s="2">
        <f>SUM(E3:E5)</f>
        <v>1</v>
      </c>
      <c r="F6" s="2">
        <f>SUM(Table12123274446[[#This Row],[Mushroom Steak]:[Frecnh Burger]])</f>
        <v>3</v>
      </c>
      <c r="G6" s="2"/>
    </row>
    <row r="8" spans="1:12" x14ac:dyDescent="0.3">
      <c r="B8" s="10" t="s">
        <v>30</v>
      </c>
      <c r="C8" s="11">
        <v>1390</v>
      </c>
      <c r="D8" s="11">
        <v>790</v>
      </c>
      <c r="E8" s="11">
        <v>790</v>
      </c>
      <c r="F8" s="11">
        <f>SUM(C8:E8)</f>
        <v>2970</v>
      </c>
      <c r="G8" s="11"/>
    </row>
    <row r="9" spans="1:12" x14ac:dyDescent="0.3">
      <c r="B9" s="10" t="s">
        <v>94</v>
      </c>
      <c r="C9" s="6">
        <v>790</v>
      </c>
    </row>
    <row r="10" spans="1:12" x14ac:dyDescent="0.3">
      <c r="B10" s="10" t="s">
        <v>261</v>
      </c>
      <c r="C10" s="6">
        <f>2300-2180</f>
        <v>120</v>
      </c>
    </row>
    <row r="11" spans="1:12" x14ac:dyDescent="0.3">
      <c r="B11" s="10" t="s">
        <v>262</v>
      </c>
      <c r="C11" s="6">
        <v>710</v>
      </c>
    </row>
    <row r="12" spans="1:12" x14ac:dyDescent="0.3">
      <c r="B12" s="6"/>
      <c r="C12" s="61" t="s">
        <v>23</v>
      </c>
      <c r="D12" s="61"/>
      <c r="E12" s="61"/>
    </row>
    <row r="13" spans="1:12" ht="43.2" x14ac:dyDescent="0.3">
      <c r="B13" s="1" t="s">
        <v>25</v>
      </c>
      <c r="C13" s="1" t="s">
        <v>254</v>
      </c>
      <c r="D13" s="1" t="s">
        <v>259</v>
      </c>
      <c r="E13" s="1" t="s">
        <v>260</v>
      </c>
      <c r="F13" s="3" t="s">
        <v>26</v>
      </c>
      <c r="G13" s="1" t="s">
        <v>94</v>
      </c>
      <c r="H13" s="1" t="s">
        <v>175</v>
      </c>
      <c r="I13" s="8" t="s">
        <v>263</v>
      </c>
      <c r="J13" s="1" t="s">
        <v>262</v>
      </c>
      <c r="K13" s="1" t="s">
        <v>219</v>
      </c>
      <c r="L13" s="8" t="s">
        <v>34</v>
      </c>
    </row>
    <row r="14" spans="1:12" x14ac:dyDescent="0.3">
      <c r="A14" s="62" t="s">
        <v>24</v>
      </c>
      <c r="B14" t="s">
        <v>4</v>
      </c>
      <c r="C14" s="6">
        <f>C3*C$8</f>
        <v>1390</v>
      </c>
      <c r="D14" s="6"/>
      <c r="E14" s="6"/>
      <c r="F14" s="2">
        <f>SUM(Table132224284547[[#This Row],[Mushroom Steak]:[Frecnh Burger]])</f>
        <v>1390</v>
      </c>
      <c r="G14">
        <f>$C$9/3</f>
        <v>263.33333333333331</v>
      </c>
      <c r="H14">
        <f t="shared" ref="H14:H17" si="0">$C$10/3</f>
        <v>40</v>
      </c>
      <c r="I14" s="27">
        <f>Table132224284547[[#This Row],[Total]]+Table132224284547[[#This Row],[TIP]]-Table132224284547[[#This Row],[Discount]]</f>
        <v>1166.6666666666667</v>
      </c>
      <c r="J14">
        <f t="shared" ref="J14:J17" si="1">$C$11/3</f>
        <v>236.66666666666666</v>
      </c>
      <c r="K14">
        <v>10</v>
      </c>
      <c r="L14" s="27">
        <f>Table132224284547[[#This Row],[Grand Total Food]]+Table132224284547[[#This Row],[Indrive]]-Table132224284547[[#This Row],[Paid]]</f>
        <v>1393.3333333333335</v>
      </c>
    </row>
    <row r="15" spans="1:12" x14ac:dyDescent="0.3">
      <c r="A15" s="62"/>
      <c r="B15" s="29" t="s">
        <v>9</v>
      </c>
      <c r="C15" s="29"/>
      <c r="D15" s="29"/>
      <c r="E15" s="29">
        <f>E4*E$8</f>
        <v>790</v>
      </c>
      <c r="F15" s="29">
        <f>SUM(Table132224284547[[#This Row],[Mushroom Steak]:[Frecnh Burger]])</f>
        <v>790</v>
      </c>
      <c r="G15" s="29">
        <f t="shared" ref="G15:G16" si="2">$C$9/3</f>
        <v>263.33333333333331</v>
      </c>
      <c r="H15" s="29">
        <f t="shared" si="0"/>
        <v>40</v>
      </c>
      <c r="I15" s="29">
        <f>Table132224284547[[#This Row],[Total]]+Table132224284547[[#This Row],[TIP]]-Table132224284547[[#This Row],[Discount]]</f>
        <v>566.66666666666674</v>
      </c>
      <c r="J15">
        <f t="shared" si="1"/>
        <v>236.66666666666666</v>
      </c>
      <c r="K15" s="6"/>
      <c r="L15" s="27">
        <f>Table132224284547[[#This Row],[Grand Total Food]]+Table132224284547[[#This Row],[Indrive]]-Table132224284547[[#This Row],[Paid]]</f>
        <v>803.33333333333337</v>
      </c>
    </row>
    <row r="16" spans="1:12" x14ac:dyDescent="0.3">
      <c r="A16" s="62"/>
      <c r="B16" t="s">
        <v>216</v>
      </c>
      <c r="C16" s="6"/>
      <c r="D16" s="6">
        <f>D5*D$8</f>
        <v>790</v>
      </c>
      <c r="E16" s="6"/>
      <c r="F16" s="2">
        <f>SUM(Table132224284547[[#This Row],[Mushroom Steak]:[Frecnh Burger]])</f>
        <v>790</v>
      </c>
      <c r="G16">
        <f t="shared" si="2"/>
        <v>263.33333333333331</v>
      </c>
      <c r="H16">
        <f t="shared" si="0"/>
        <v>40</v>
      </c>
      <c r="I16" s="27">
        <f>Table132224284547[[#This Row],[Total]]+Table132224284547[[#This Row],[TIP]]-Table132224284547[[#This Row],[Discount]]</f>
        <v>566.66666666666674</v>
      </c>
      <c r="J16">
        <f t="shared" si="1"/>
        <v>236.66666666666666</v>
      </c>
      <c r="K16">
        <v>310</v>
      </c>
      <c r="L16" s="27">
        <f>Table132224284547[[#This Row],[Grand Total Food]]+Table132224284547[[#This Row],[Indrive]]-Table132224284547[[#This Row],[Paid]]</f>
        <v>493.33333333333337</v>
      </c>
    </row>
    <row r="17" spans="2:12" x14ac:dyDescent="0.3">
      <c r="B17" s="2" t="s">
        <v>26</v>
      </c>
      <c r="C17" s="2">
        <f>SUM(C14:C16)</f>
        <v>1390</v>
      </c>
      <c r="D17" s="2">
        <f>SUM(D14:D16)</f>
        <v>790</v>
      </c>
      <c r="E17" s="2">
        <f>SUM(E14:E16)</f>
        <v>790</v>
      </c>
      <c r="F17" s="2">
        <f>SUM(Table132224284547[[#This Row],[Mushroom Steak]:[Frecnh Burger]])</f>
        <v>2970</v>
      </c>
      <c r="G17" s="2">
        <f>SUM(G14:G16)</f>
        <v>790</v>
      </c>
      <c r="H17" s="2">
        <f t="shared" si="0"/>
        <v>40</v>
      </c>
      <c r="I17" s="9">
        <f>SUM(I14:I16)</f>
        <v>2300</v>
      </c>
      <c r="J17">
        <f t="shared" si="1"/>
        <v>236.66666666666666</v>
      </c>
      <c r="L17" s="54">
        <f>Table132224284547[[#This Row],[Grand Total Food]]+Table132224284547[[#This Row],[Indrive]]-Table132224284547[[#This Row],[Paid]]</f>
        <v>2536.6666666666665</v>
      </c>
    </row>
  </sheetData>
  <mergeCells count="4">
    <mergeCell ref="A3:A5"/>
    <mergeCell ref="A14:A16"/>
    <mergeCell ref="C12:E12"/>
    <mergeCell ref="C1:E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topLeftCell="A20" workbookViewId="0">
      <selection activeCell="C1" sqref="C1:G1"/>
    </sheetView>
  </sheetViews>
  <sheetFormatPr defaultRowHeight="14.4" x14ac:dyDescent="0.3"/>
  <cols>
    <col min="2" max="2" width="16.109375" bestFit="1" customWidth="1"/>
    <col min="6" max="6" width="13.5546875" bestFit="1" customWidth="1"/>
    <col min="8" max="8" width="0" hidden="1" customWidth="1"/>
    <col min="12" max="13" width="13.5546875" bestFit="1" customWidth="1"/>
    <col min="16" max="16" width="0" hidden="1" customWidth="1"/>
  </cols>
  <sheetData>
    <row r="1" spans="1:18" x14ac:dyDescent="0.3">
      <c r="C1" s="60" t="s">
        <v>22</v>
      </c>
      <c r="D1" s="60"/>
      <c r="E1" s="60"/>
      <c r="F1" s="60"/>
      <c r="G1" s="60"/>
      <c r="H1" s="28"/>
      <c r="I1" s="61" t="s">
        <v>23</v>
      </c>
      <c r="J1" s="61"/>
      <c r="K1" s="61"/>
      <c r="L1" s="61"/>
      <c r="M1" s="61"/>
      <c r="N1" s="61"/>
      <c r="O1" s="61"/>
      <c r="P1" s="25"/>
    </row>
    <row r="2" spans="1:18" ht="28.8" x14ac:dyDescent="0.3">
      <c r="B2" s="1" t="s">
        <v>25</v>
      </c>
      <c r="C2" s="1" t="s">
        <v>248</v>
      </c>
      <c r="D2" s="1" t="s">
        <v>127</v>
      </c>
      <c r="E2" s="1" t="s">
        <v>249</v>
      </c>
      <c r="F2" s="1" t="s">
        <v>250</v>
      </c>
      <c r="G2" s="1" t="s">
        <v>251</v>
      </c>
      <c r="H2" s="1" t="s">
        <v>41</v>
      </c>
      <c r="I2" s="1" t="s">
        <v>80</v>
      </c>
      <c r="J2" s="1" t="s">
        <v>252</v>
      </c>
      <c r="K2" s="1" t="s">
        <v>253</v>
      </c>
      <c r="L2" s="1" t="s">
        <v>254</v>
      </c>
      <c r="M2" s="1" t="s">
        <v>255</v>
      </c>
      <c r="N2" s="1" t="s">
        <v>256</v>
      </c>
      <c r="O2" s="1" t="s">
        <v>257</v>
      </c>
      <c r="P2" s="1" t="s">
        <v>40</v>
      </c>
      <c r="Q2" s="3" t="s">
        <v>26</v>
      </c>
      <c r="R2" s="3"/>
    </row>
    <row r="3" spans="1:18" x14ac:dyDescent="0.3">
      <c r="A3" s="62" t="s">
        <v>24</v>
      </c>
      <c r="B3" t="s">
        <v>1</v>
      </c>
      <c r="C3" s="6">
        <v>0.25</v>
      </c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>
        <v>1</v>
      </c>
      <c r="P3" s="6"/>
      <c r="Q3" s="2">
        <f>SUM(Table121232744[[#This Row],[H20]:[Column1]])</f>
        <v>2.25</v>
      </c>
      <c r="R3" s="2"/>
    </row>
    <row r="4" spans="1:18" x14ac:dyDescent="0.3">
      <c r="A4" s="62"/>
      <c r="B4" t="s">
        <v>9</v>
      </c>
      <c r="C4" s="6">
        <v>0.25</v>
      </c>
      <c r="D4" s="6"/>
      <c r="E4" s="6"/>
      <c r="F4" s="6"/>
      <c r="G4" s="6"/>
      <c r="H4" s="6"/>
      <c r="I4" s="6">
        <v>1</v>
      </c>
      <c r="J4" s="30"/>
      <c r="K4" s="6"/>
      <c r="L4" s="6"/>
      <c r="M4" s="6"/>
      <c r="N4" s="6"/>
      <c r="O4" s="6"/>
      <c r="P4" s="6"/>
      <c r="Q4" s="2">
        <f>SUM(Table121232744[[#This Row],[H20]:[Column1]])</f>
        <v>1.25</v>
      </c>
      <c r="R4" s="2"/>
    </row>
    <row r="5" spans="1:18" x14ac:dyDescent="0.3">
      <c r="A5" s="62"/>
      <c r="B5" t="s">
        <v>7</v>
      </c>
      <c r="C5" s="6">
        <v>0.25</v>
      </c>
      <c r="D5" s="6"/>
      <c r="E5" s="6"/>
      <c r="F5" s="6">
        <v>1</v>
      </c>
      <c r="G5" s="6"/>
      <c r="H5" s="6"/>
      <c r="I5" s="6"/>
      <c r="J5" s="6"/>
      <c r="K5" s="6"/>
      <c r="L5" s="6">
        <v>1</v>
      </c>
      <c r="M5" s="6"/>
      <c r="N5" s="6"/>
      <c r="O5" s="6"/>
      <c r="P5" s="6"/>
      <c r="Q5" s="2">
        <f>SUM(Table121232744[[#This Row],[H20]:[Column1]])</f>
        <v>2.25</v>
      </c>
      <c r="R5" s="2"/>
    </row>
    <row r="6" spans="1:18" x14ac:dyDescent="0.3">
      <c r="A6" s="62"/>
      <c r="B6" s="29" t="s">
        <v>177</v>
      </c>
      <c r="C6" s="29"/>
      <c r="D6" s="29">
        <v>1</v>
      </c>
      <c r="E6" s="29"/>
      <c r="F6" s="29"/>
      <c r="G6" s="29"/>
      <c r="H6" s="29"/>
      <c r="I6" s="29"/>
      <c r="J6" s="29"/>
      <c r="K6" s="29"/>
      <c r="L6" s="29"/>
      <c r="M6" s="29">
        <v>1</v>
      </c>
      <c r="N6" s="29"/>
      <c r="O6" s="29"/>
      <c r="P6" s="29"/>
      <c r="Q6" s="2">
        <f>SUM(Table121232744[[#This Row],[H20]:[Column1]])</f>
        <v>2</v>
      </c>
      <c r="R6" s="2"/>
    </row>
    <row r="7" spans="1:18" x14ac:dyDescent="0.3">
      <c r="A7" s="62"/>
      <c r="B7" t="s">
        <v>246</v>
      </c>
      <c r="C7" s="6">
        <v>0.25</v>
      </c>
      <c r="D7" s="6">
        <v>1</v>
      </c>
      <c r="E7" s="6"/>
      <c r="F7" s="6"/>
      <c r="G7" s="6"/>
      <c r="H7" s="6"/>
      <c r="I7" s="6"/>
      <c r="J7" s="6">
        <v>1</v>
      </c>
      <c r="K7" s="6"/>
      <c r="L7" s="6"/>
      <c r="M7" s="6"/>
      <c r="N7" s="6"/>
      <c r="O7" s="6"/>
      <c r="P7" s="6"/>
      <c r="Q7" s="2">
        <f>SUM(Table121232744[[#This Row],[H20]:[Column1]])</f>
        <v>2.25</v>
      </c>
      <c r="R7" s="2"/>
    </row>
    <row r="8" spans="1:18" x14ac:dyDescent="0.3">
      <c r="A8" s="62"/>
      <c r="B8" t="s">
        <v>245</v>
      </c>
      <c r="C8" s="6">
        <v>0.25</v>
      </c>
      <c r="D8" s="6"/>
      <c r="E8" s="6">
        <v>1</v>
      </c>
      <c r="F8" s="6"/>
      <c r="G8" s="6"/>
      <c r="H8" s="6"/>
      <c r="I8" s="6"/>
      <c r="J8" s="30"/>
      <c r="K8" s="6"/>
      <c r="L8" s="6"/>
      <c r="M8" s="6"/>
      <c r="N8" s="6">
        <v>1</v>
      </c>
      <c r="O8" s="6"/>
      <c r="P8" s="6"/>
      <c r="Q8" s="2">
        <f>SUM(Table121232744[[#This Row],[H20]:[Column1]])</f>
        <v>2.25</v>
      </c>
      <c r="R8" s="2"/>
    </row>
    <row r="9" spans="1:18" x14ac:dyDescent="0.3">
      <c r="A9" s="62"/>
      <c r="B9" t="s">
        <v>2</v>
      </c>
      <c r="C9" s="6">
        <v>0.25</v>
      </c>
      <c r="D9" s="6">
        <v>1</v>
      </c>
      <c r="E9" s="6"/>
      <c r="F9" s="6"/>
      <c r="G9" s="6"/>
      <c r="H9" s="6"/>
      <c r="I9" s="6"/>
      <c r="J9" s="6">
        <v>1</v>
      </c>
      <c r="K9" s="6"/>
      <c r="L9" s="6"/>
      <c r="M9" s="6"/>
      <c r="N9" s="6"/>
      <c r="O9" s="6"/>
      <c r="P9" s="6"/>
      <c r="Q9" s="2">
        <f>SUM(Table121232744[[#This Row],[H20]:[Column1]])</f>
        <v>2.25</v>
      </c>
      <c r="R9" s="2"/>
    </row>
    <row r="10" spans="1:18" x14ac:dyDescent="0.3">
      <c r="A10" s="62"/>
      <c r="B10" t="s">
        <v>244</v>
      </c>
      <c r="C10" s="6">
        <v>0.25</v>
      </c>
      <c r="D10" s="6"/>
      <c r="E10" s="6"/>
      <c r="F10" s="6"/>
      <c r="G10" s="6">
        <v>1</v>
      </c>
      <c r="H10" s="6"/>
      <c r="I10" s="6"/>
      <c r="J10" s="6"/>
      <c r="K10" s="6">
        <v>0.5</v>
      </c>
      <c r="L10" s="6"/>
      <c r="M10" s="6"/>
      <c r="N10" s="6"/>
      <c r="O10" s="6"/>
      <c r="P10" s="6"/>
      <c r="Q10" s="2">
        <f>SUM(Table121232744[[#This Row],[H20]:[Column1]])</f>
        <v>1.75</v>
      </c>
      <c r="R10" s="2"/>
    </row>
    <row r="11" spans="1:18" x14ac:dyDescent="0.3">
      <c r="A11" s="62"/>
      <c r="B11" t="s">
        <v>247</v>
      </c>
      <c r="C11" s="6">
        <v>0.25</v>
      </c>
      <c r="D11" s="6"/>
      <c r="E11" s="6"/>
      <c r="F11" s="6"/>
      <c r="G11" s="6">
        <v>1</v>
      </c>
      <c r="H11" s="6"/>
      <c r="I11" s="6"/>
      <c r="J11" s="6"/>
      <c r="K11" s="6">
        <v>0.5</v>
      </c>
      <c r="L11" s="6"/>
      <c r="M11" s="6"/>
      <c r="N11" s="6"/>
      <c r="O11" s="6"/>
      <c r="P11" s="6"/>
      <c r="Q11" s="2">
        <f>SUM(Table121232744[[#This Row],[H20]:[Column1]])</f>
        <v>1.75</v>
      </c>
      <c r="R11" s="2"/>
    </row>
    <row r="12" spans="1:18" x14ac:dyDescent="0.3">
      <c r="A12" s="62"/>
      <c r="C12" s="6"/>
      <c r="D12" s="6"/>
      <c r="E12" s="6"/>
      <c r="F12" s="6"/>
      <c r="G12" s="6"/>
      <c r="H12" s="6"/>
      <c r="I12" s="6"/>
      <c r="J12" s="6"/>
      <c r="K12" s="29"/>
      <c r="L12" s="6"/>
      <c r="M12" s="6"/>
      <c r="N12" s="6"/>
      <c r="O12" s="6"/>
      <c r="P12" s="31"/>
      <c r="Q12" s="32">
        <f>SUM(Table121232744[[#This Row],[H20]:[Column1]])</f>
        <v>0</v>
      </c>
      <c r="R12" s="2"/>
    </row>
    <row r="13" spans="1:18" x14ac:dyDescent="0.3">
      <c r="A13" s="6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>SUM(Table121232744[[#This Row],[H20]:[Column1]])</f>
        <v>0</v>
      </c>
      <c r="R13" s="2"/>
    </row>
    <row r="14" spans="1:18" x14ac:dyDescent="0.3">
      <c r="B14" s="2" t="s">
        <v>26</v>
      </c>
      <c r="C14" s="2">
        <f t="shared" ref="C14:P14" si="0">SUM(C3:C13)</f>
        <v>2</v>
      </c>
      <c r="D14" s="2">
        <f t="shared" si="0"/>
        <v>4</v>
      </c>
      <c r="E14" s="2">
        <f t="shared" si="0"/>
        <v>1</v>
      </c>
      <c r="F14" s="2">
        <f t="shared" si="0"/>
        <v>1</v>
      </c>
      <c r="G14" s="2">
        <f t="shared" si="0"/>
        <v>2</v>
      </c>
      <c r="H14" s="2">
        <f t="shared" si="0"/>
        <v>0</v>
      </c>
      <c r="I14" s="2">
        <f t="shared" si="0"/>
        <v>1</v>
      </c>
      <c r="J14" s="2">
        <f t="shared" si="0"/>
        <v>2</v>
      </c>
      <c r="K14" s="2">
        <f t="shared" si="0"/>
        <v>1</v>
      </c>
      <c r="L14" s="2">
        <f t="shared" si="0"/>
        <v>1</v>
      </c>
      <c r="M14" s="2">
        <f t="shared" si="0"/>
        <v>1</v>
      </c>
      <c r="N14" s="2">
        <f t="shared" si="0"/>
        <v>1</v>
      </c>
      <c r="O14" s="2">
        <f t="shared" si="0"/>
        <v>1</v>
      </c>
      <c r="P14" s="2">
        <f t="shared" si="0"/>
        <v>0</v>
      </c>
      <c r="Q14" s="2">
        <f>SUM(Table121232744[[#This Row],[H20]:[Column1]])</f>
        <v>18</v>
      </c>
      <c r="R14" s="2"/>
    </row>
    <row r="16" spans="1:18" x14ac:dyDescent="0.3">
      <c r="B16" s="10" t="s">
        <v>29</v>
      </c>
      <c r="C16" s="5">
        <v>0</v>
      </c>
    </row>
    <row r="17" spans="1:22" x14ac:dyDescent="0.3">
      <c r="B17" s="10" t="s">
        <v>30</v>
      </c>
      <c r="C17" s="11">
        <v>150</v>
      </c>
      <c r="D17" s="11">
        <v>120</v>
      </c>
      <c r="E17" s="11">
        <v>120</v>
      </c>
      <c r="F17" s="11">
        <v>150</v>
      </c>
      <c r="G17" s="11">
        <v>495</v>
      </c>
      <c r="H17" s="11"/>
      <c r="I17" s="11">
        <v>790</v>
      </c>
      <c r="J17" s="11">
        <v>790</v>
      </c>
      <c r="K17" s="11">
        <v>1990</v>
      </c>
      <c r="L17" s="11">
        <v>1750</v>
      </c>
      <c r="M17" s="11">
        <v>1390</v>
      </c>
      <c r="N17" s="11">
        <v>1390</v>
      </c>
      <c r="O17" s="11">
        <v>1750</v>
      </c>
      <c r="P17" s="11"/>
      <c r="Q17" s="11">
        <f>SUM(C17:P17)</f>
        <v>10885</v>
      </c>
      <c r="R17" s="11"/>
    </row>
    <row r="18" spans="1:22" x14ac:dyDescent="0.3">
      <c r="B18" s="10" t="s">
        <v>31</v>
      </c>
      <c r="C18">
        <f>C17*$C$16</f>
        <v>0</v>
      </c>
      <c r="D18">
        <f t="shared" ref="D18:P18" si="1">D17*$C$16</f>
        <v>0</v>
      </c>
      <c r="E18">
        <f t="shared" si="1"/>
        <v>0</v>
      </c>
      <c r="F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 s="11">
        <f t="shared" ref="Q18" si="2">SUM(C18:P18)</f>
        <v>0</v>
      </c>
      <c r="R18" s="11"/>
    </row>
    <row r="19" spans="1:22" x14ac:dyDescent="0.3">
      <c r="B19" s="10" t="s">
        <v>94</v>
      </c>
      <c r="C19" s="6">
        <v>2370</v>
      </c>
    </row>
    <row r="20" spans="1:22" x14ac:dyDescent="0.3">
      <c r="B20" s="10" t="s">
        <v>124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/>
      <c r="R20" s="11"/>
    </row>
    <row r="21" spans="1:22" x14ac:dyDescent="0.3">
      <c r="B21" s="10" t="s">
        <v>138</v>
      </c>
    </row>
    <row r="22" spans="1:22" x14ac:dyDescent="0.3">
      <c r="C22" s="60" t="s">
        <v>22</v>
      </c>
      <c r="D22" s="60"/>
      <c r="E22" s="60"/>
      <c r="F22" s="60"/>
      <c r="G22" s="60"/>
      <c r="H22" s="28"/>
      <c r="I22" s="61" t="s">
        <v>23</v>
      </c>
      <c r="J22" s="61"/>
      <c r="K22" s="61"/>
      <c r="L22" s="61"/>
      <c r="M22" s="61"/>
      <c r="N22" s="61"/>
      <c r="O22" s="61"/>
      <c r="P22" s="25"/>
    </row>
    <row r="23" spans="1:22" ht="43.2" x14ac:dyDescent="0.3">
      <c r="B23" s="1" t="s">
        <v>25</v>
      </c>
      <c r="C23" s="1" t="s">
        <v>248</v>
      </c>
      <c r="D23" s="1" t="s">
        <v>127</v>
      </c>
      <c r="E23" s="1" t="s">
        <v>249</v>
      </c>
      <c r="F23" s="1" t="s">
        <v>250</v>
      </c>
      <c r="G23" s="1" t="s">
        <v>251</v>
      </c>
      <c r="H23" s="1" t="s">
        <v>41</v>
      </c>
      <c r="I23" s="1" t="s">
        <v>80</v>
      </c>
      <c r="J23" s="1" t="s">
        <v>252</v>
      </c>
      <c r="K23" s="1" t="s">
        <v>253</v>
      </c>
      <c r="L23" s="1" t="s">
        <v>254</v>
      </c>
      <c r="M23" s="1" t="s">
        <v>255</v>
      </c>
      <c r="N23" s="1" t="s">
        <v>256</v>
      </c>
      <c r="O23" s="1" t="s">
        <v>257</v>
      </c>
      <c r="P23" s="1" t="s">
        <v>40</v>
      </c>
      <c r="Q23" s="3" t="s">
        <v>26</v>
      </c>
      <c r="R23" s="3" t="s">
        <v>138</v>
      </c>
      <c r="S23" s="1" t="s">
        <v>258</v>
      </c>
      <c r="T23" s="8" t="s">
        <v>34</v>
      </c>
      <c r="U23" s="1" t="s">
        <v>94</v>
      </c>
      <c r="V23" s="1" t="s">
        <v>49</v>
      </c>
    </row>
    <row r="24" spans="1:22" x14ac:dyDescent="0.3">
      <c r="A24" s="62" t="s">
        <v>24</v>
      </c>
      <c r="B24" t="s">
        <v>1</v>
      </c>
      <c r="C24" s="6">
        <f>C3*C$17</f>
        <v>37.5</v>
      </c>
      <c r="D24" s="6">
        <f t="shared" ref="D24:O24" si="3">D3*D$17</f>
        <v>120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>
        <f t="shared" si="3"/>
        <v>1750</v>
      </c>
      <c r="P24" s="6"/>
      <c r="Q24" s="7">
        <f>SUM(Table1322242845[[#This Row],[H20]:[Twin Steak]])</f>
        <v>1907.5</v>
      </c>
      <c r="R24" s="7"/>
      <c r="S24" s="6">
        <f>$Q$27/8</f>
        <v>188.75</v>
      </c>
      <c r="T24" s="27">
        <f>Table1322242845[[#This Row],[Total]]+Table1322242845[[#This Row],[Service charges]]+Table1322242845[[#This Row],[Shoohira Sharing Total]]-U24</f>
        <v>1701.25</v>
      </c>
      <c r="U24">
        <f>$C$19/6</f>
        <v>395</v>
      </c>
      <c r="V24" t="s">
        <v>1</v>
      </c>
    </row>
    <row r="25" spans="1:22" x14ac:dyDescent="0.3">
      <c r="A25" s="62"/>
      <c r="B25" t="s">
        <v>9</v>
      </c>
      <c r="C25" s="6">
        <f t="shared" ref="C25:N32" si="4">C4*C$17</f>
        <v>37.5</v>
      </c>
      <c r="D25" s="6"/>
      <c r="E25" s="6"/>
      <c r="F25" s="6"/>
      <c r="G25" s="6"/>
      <c r="H25" s="6">
        <f t="shared" si="4"/>
        <v>0</v>
      </c>
      <c r="I25" s="6">
        <f t="shared" si="4"/>
        <v>790</v>
      </c>
      <c r="J25" s="6"/>
      <c r="K25" s="6"/>
      <c r="L25" s="6"/>
      <c r="M25" s="6"/>
      <c r="N25" s="6"/>
      <c r="O25" s="6"/>
      <c r="P25" s="6"/>
      <c r="Q25" s="7">
        <f>SUM(Table1322242845[[#This Row],[H20]:[Twin Steak]])</f>
        <v>827.5</v>
      </c>
      <c r="R25" s="7"/>
      <c r="S25" s="6">
        <f t="shared" ref="S25:S32" si="5">$Q$27/8</f>
        <v>188.75</v>
      </c>
      <c r="T25" s="27">
        <f>Table1322242845[[#This Row],[Total]]+Table1322242845[[#This Row],[Service charges]]+Table1322242845[[#This Row],[Shoohira Sharing Total]]-U25</f>
        <v>621.25</v>
      </c>
      <c r="U25">
        <f t="shared" ref="U25:U30" si="6">$C$19/6</f>
        <v>395</v>
      </c>
      <c r="V25" t="s">
        <v>9</v>
      </c>
    </row>
    <row r="26" spans="1:22" x14ac:dyDescent="0.3">
      <c r="A26" s="62"/>
      <c r="B26" t="s">
        <v>7</v>
      </c>
      <c r="C26" s="6">
        <f t="shared" si="4"/>
        <v>37.5</v>
      </c>
      <c r="D26" s="6"/>
      <c r="E26" s="6"/>
      <c r="F26" s="6">
        <f t="shared" si="4"/>
        <v>150</v>
      </c>
      <c r="G26" s="6"/>
      <c r="H26" s="6">
        <f t="shared" si="4"/>
        <v>0</v>
      </c>
      <c r="I26" s="6"/>
      <c r="J26" s="6"/>
      <c r="K26" s="6"/>
      <c r="L26" s="6">
        <f t="shared" si="4"/>
        <v>1750</v>
      </c>
      <c r="M26" s="6"/>
      <c r="N26" s="6"/>
      <c r="O26" s="6"/>
      <c r="P26" s="6"/>
      <c r="Q26" s="7">
        <f>SUM(Table1322242845[[#This Row],[H20]:[Twin Steak]])</f>
        <v>1937.5</v>
      </c>
      <c r="R26" s="7"/>
      <c r="S26" s="6">
        <f t="shared" si="5"/>
        <v>188.75</v>
      </c>
      <c r="T26" s="27">
        <f>Table1322242845[[#This Row],[Total]]+Table1322242845[[#This Row],[Service charges]]+Table1322242845[[#This Row],[Shoohira Sharing Total]]-U26</f>
        <v>1731.25</v>
      </c>
      <c r="U26">
        <f t="shared" si="6"/>
        <v>395</v>
      </c>
      <c r="V26" t="s">
        <v>7</v>
      </c>
    </row>
    <row r="27" spans="1:22" x14ac:dyDescent="0.3">
      <c r="A27" s="62"/>
      <c r="B27" s="29" t="s">
        <v>177</v>
      </c>
      <c r="C27" s="29"/>
      <c r="D27" s="29">
        <f t="shared" si="4"/>
        <v>120</v>
      </c>
      <c r="E27" s="29"/>
      <c r="F27" s="29"/>
      <c r="G27" s="29"/>
      <c r="H27" s="29">
        <f t="shared" si="4"/>
        <v>0</v>
      </c>
      <c r="I27" s="29"/>
      <c r="J27" s="29"/>
      <c r="K27" s="29"/>
      <c r="L27" s="29"/>
      <c r="M27" s="29">
        <f t="shared" si="4"/>
        <v>1390</v>
      </c>
      <c r="N27" s="29"/>
      <c r="O27" s="29"/>
      <c r="P27" s="6"/>
      <c r="Q27" s="29">
        <f>SUM(Table1322242845[[#This Row],[H20]:[Twin Steak]])</f>
        <v>1510</v>
      </c>
      <c r="R27" s="29"/>
      <c r="S27" s="29"/>
      <c r="T27" s="29"/>
      <c r="U27" s="29"/>
      <c r="V27" s="29" t="s">
        <v>177</v>
      </c>
    </row>
    <row r="28" spans="1:22" x14ac:dyDescent="0.3">
      <c r="A28" s="62"/>
      <c r="B28" t="s">
        <v>246</v>
      </c>
      <c r="C28" s="6">
        <f t="shared" si="4"/>
        <v>37.5</v>
      </c>
      <c r="D28" s="6">
        <f t="shared" si="4"/>
        <v>120</v>
      </c>
      <c r="E28" s="6"/>
      <c r="F28" s="6"/>
      <c r="G28" s="6"/>
      <c r="H28" s="6">
        <f t="shared" si="4"/>
        <v>0</v>
      </c>
      <c r="I28" s="6"/>
      <c r="J28" s="6">
        <f t="shared" si="4"/>
        <v>790</v>
      </c>
      <c r="K28" s="6"/>
      <c r="L28" s="6"/>
      <c r="M28" s="6"/>
      <c r="N28" s="6"/>
      <c r="O28" s="6"/>
      <c r="P28" s="6"/>
      <c r="Q28" s="7">
        <f>SUM(Table1322242845[[#This Row],[H20]:[Twin Steak]])</f>
        <v>947.5</v>
      </c>
      <c r="R28" s="7"/>
      <c r="S28" s="6">
        <f t="shared" si="5"/>
        <v>188.75</v>
      </c>
      <c r="T28" s="27">
        <f>Table1322242845[[#This Row],[Total]]+Table1322242845[[#This Row],[Service charges]]+Table1322242845[[#This Row],[Shoohira Sharing Total]]-U28</f>
        <v>741.25</v>
      </c>
      <c r="U28">
        <f t="shared" si="6"/>
        <v>395</v>
      </c>
      <c r="V28" t="s">
        <v>246</v>
      </c>
    </row>
    <row r="29" spans="1:22" x14ac:dyDescent="0.3">
      <c r="A29" s="62"/>
      <c r="B29" t="s">
        <v>245</v>
      </c>
      <c r="C29" s="6">
        <f t="shared" si="4"/>
        <v>37.5</v>
      </c>
      <c r="D29" s="6"/>
      <c r="E29" s="6">
        <f t="shared" si="4"/>
        <v>120</v>
      </c>
      <c r="F29" s="6"/>
      <c r="G29" s="6"/>
      <c r="H29" s="6">
        <f t="shared" si="4"/>
        <v>0</v>
      </c>
      <c r="I29" s="6"/>
      <c r="J29" s="6">
        <f t="shared" si="4"/>
        <v>0</v>
      </c>
      <c r="K29" s="6"/>
      <c r="L29" s="6"/>
      <c r="M29" s="6"/>
      <c r="N29" s="6">
        <f t="shared" si="4"/>
        <v>1390</v>
      </c>
      <c r="O29" s="6"/>
      <c r="P29" s="6"/>
      <c r="Q29" s="7">
        <f>SUM(Table1322242845[[#This Row],[H20]:[Twin Steak]])</f>
        <v>1547.5</v>
      </c>
      <c r="R29" s="7"/>
      <c r="S29" s="6">
        <f t="shared" si="5"/>
        <v>188.75</v>
      </c>
      <c r="T29" s="27">
        <f>Table1322242845[[#This Row],[Total]]+Table1322242845[[#This Row],[Service charges]]+Table1322242845[[#This Row],[Shoohira Sharing Total]]-U29</f>
        <v>1341.25</v>
      </c>
      <c r="U29">
        <f t="shared" si="6"/>
        <v>395</v>
      </c>
      <c r="V29" t="s">
        <v>245</v>
      </c>
    </row>
    <row r="30" spans="1:22" x14ac:dyDescent="0.3">
      <c r="A30" s="62"/>
      <c r="B30" t="s">
        <v>2</v>
      </c>
      <c r="C30" s="6">
        <f t="shared" si="4"/>
        <v>37.5</v>
      </c>
      <c r="D30" s="6">
        <f t="shared" si="4"/>
        <v>120</v>
      </c>
      <c r="E30" s="6"/>
      <c r="F30" s="6"/>
      <c r="G30" s="6"/>
      <c r="H30" s="6">
        <f t="shared" si="4"/>
        <v>0</v>
      </c>
      <c r="I30" s="6"/>
      <c r="J30" s="6">
        <f t="shared" si="4"/>
        <v>790</v>
      </c>
      <c r="K30" s="6"/>
      <c r="L30" s="6"/>
      <c r="M30" s="6"/>
      <c r="N30" s="6"/>
      <c r="O30" s="6"/>
      <c r="P30" s="6"/>
      <c r="Q30" s="7">
        <f>SUM(Table1322242845[[#This Row],[H20]:[Twin Steak]])</f>
        <v>947.5</v>
      </c>
      <c r="R30" s="7"/>
      <c r="S30" s="6">
        <f t="shared" si="5"/>
        <v>188.75</v>
      </c>
      <c r="T30" s="27">
        <f>Table1322242845[[#This Row],[Total]]+Table1322242845[[#This Row],[Service charges]]+Table1322242845[[#This Row],[Shoohira Sharing Total]]-U30</f>
        <v>741.25</v>
      </c>
      <c r="U30">
        <f t="shared" si="6"/>
        <v>395</v>
      </c>
      <c r="V30" t="s">
        <v>2</v>
      </c>
    </row>
    <row r="31" spans="1:22" x14ac:dyDescent="0.3">
      <c r="A31" s="62"/>
      <c r="B31" t="s">
        <v>244</v>
      </c>
      <c r="C31" s="6">
        <f t="shared" si="4"/>
        <v>37.5</v>
      </c>
      <c r="D31" s="6"/>
      <c r="E31" s="6"/>
      <c r="F31" s="6"/>
      <c r="G31" s="6">
        <f t="shared" si="4"/>
        <v>495</v>
      </c>
      <c r="H31" s="6">
        <f t="shared" si="4"/>
        <v>0</v>
      </c>
      <c r="I31" s="6"/>
      <c r="J31" s="6">
        <f t="shared" si="4"/>
        <v>0</v>
      </c>
      <c r="K31" s="6">
        <f t="shared" si="4"/>
        <v>995</v>
      </c>
      <c r="L31" s="6"/>
      <c r="M31" s="6"/>
      <c r="N31" s="6"/>
      <c r="O31" s="6"/>
      <c r="P31" s="6"/>
      <c r="Q31" s="7">
        <f>SUM(Table1322242845[[#This Row],[H20]:[Twin Steak]])</f>
        <v>1527.5</v>
      </c>
      <c r="R31" s="7"/>
      <c r="S31" s="6">
        <f t="shared" si="5"/>
        <v>188.75</v>
      </c>
      <c r="T31" s="27">
        <f>Table1322242845[[#This Row],[Total]]+Table1322242845[[#This Row],[Service charges]]+Table1322242845[[#This Row],[Shoohira Sharing Total]]-U31</f>
        <v>1716.25</v>
      </c>
      <c r="V31" t="s">
        <v>244</v>
      </c>
    </row>
    <row r="32" spans="1:22" x14ac:dyDescent="0.3">
      <c r="A32" s="62"/>
      <c r="B32" t="s">
        <v>247</v>
      </c>
      <c r="C32" s="6">
        <f t="shared" si="4"/>
        <v>37.5</v>
      </c>
      <c r="D32" s="6"/>
      <c r="E32" s="6"/>
      <c r="F32" s="6"/>
      <c r="G32" s="6">
        <f t="shared" si="4"/>
        <v>495</v>
      </c>
      <c r="H32" s="6">
        <f t="shared" si="4"/>
        <v>0</v>
      </c>
      <c r="I32" s="6"/>
      <c r="J32" s="6">
        <f t="shared" si="4"/>
        <v>0</v>
      </c>
      <c r="K32" s="6">
        <f t="shared" si="4"/>
        <v>995</v>
      </c>
      <c r="L32" s="6"/>
      <c r="M32" s="6"/>
      <c r="N32" s="6"/>
      <c r="O32" s="6"/>
      <c r="P32" s="6"/>
      <c r="Q32" s="7">
        <f>SUM(Table1322242845[[#This Row],[H20]:[Twin Steak]])</f>
        <v>1527.5</v>
      </c>
      <c r="R32" s="7"/>
      <c r="S32" s="6">
        <f t="shared" si="5"/>
        <v>188.75</v>
      </c>
      <c r="T32" s="27">
        <f>Table1322242845[[#This Row],[Total]]+Table1322242845[[#This Row],[Service charges]]+Table1322242845[[#This Row],[Shoohira Sharing Total]]-U32</f>
        <v>1716.25</v>
      </c>
      <c r="V32" t="s">
        <v>247</v>
      </c>
    </row>
    <row r="33" spans="1:21" x14ac:dyDescent="0.3">
      <c r="A33" s="6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6"/>
      <c r="T33" s="7"/>
    </row>
    <row r="34" spans="1:21" x14ac:dyDescent="0.3">
      <c r="A34" s="6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6"/>
      <c r="T34" s="7"/>
    </row>
    <row r="35" spans="1:21" x14ac:dyDescent="0.3">
      <c r="B35" s="2" t="s">
        <v>26</v>
      </c>
      <c r="C35" s="2">
        <f>SUM(C24:C34)</f>
        <v>300</v>
      </c>
      <c r="D35" s="2">
        <f t="shared" ref="D35:P35" si="7">SUM(D24:D34)</f>
        <v>480</v>
      </c>
      <c r="E35" s="2">
        <f t="shared" si="7"/>
        <v>120</v>
      </c>
      <c r="F35" s="2">
        <f t="shared" si="7"/>
        <v>150</v>
      </c>
      <c r="G35" s="2"/>
      <c r="H35" s="2"/>
      <c r="I35" s="2">
        <f t="shared" si="7"/>
        <v>790</v>
      </c>
      <c r="J35" s="2">
        <f t="shared" si="7"/>
        <v>1580</v>
      </c>
      <c r="K35" s="2">
        <f t="shared" si="7"/>
        <v>1990</v>
      </c>
      <c r="L35" s="2">
        <f t="shared" si="7"/>
        <v>1750</v>
      </c>
      <c r="M35" s="2">
        <f t="shared" si="7"/>
        <v>1390</v>
      </c>
      <c r="N35" s="2">
        <f t="shared" si="7"/>
        <v>1390</v>
      </c>
      <c r="O35" s="2">
        <f t="shared" si="7"/>
        <v>1750</v>
      </c>
      <c r="P35" s="2">
        <f t="shared" si="7"/>
        <v>0</v>
      </c>
      <c r="Q35" s="7">
        <f>SUM(Table1322242845[[#This Row],[H20]:[Twin Steak]])</f>
        <v>11690</v>
      </c>
      <c r="R35" s="7"/>
      <c r="S35" s="6"/>
      <c r="T35" s="9">
        <f>SUM(T24:T34)</f>
        <v>10310</v>
      </c>
      <c r="U35" s="9">
        <f t="shared" ref="U35" si="8">SUM(U24:U34)</f>
        <v>2370</v>
      </c>
    </row>
  </sheetData>
  <mergeCells count="6">
    <mergeCell ref="I1:O1"/>
    <mergeCell ref="A3:A13"/>
    <mergeCell ref="I22:O22"/>
    <mergeCell ref="A24:A34"/>
    <mergeCell ref="C1:G1"/>
    <mergeCell ref="C22:G2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topLeftCell="A17" workbookViewId="0">
      <selection activeCell="S34" sqref="S34"/>
    </sheetView>
  </sheetViews>
  <sheetFormatPr defaultRowHeight="14.4" x14ac:dyDescent="0.3"/>
  <cols>
    <col min="2" max="2" width="16.109375" bestFit="1" customWidth="1"/>
    <col min="3" max="3" width="10" bestFit="1" customWidth="1"/>
    <col min="4" max="4" width="7.33203125" hidden="1" customWidth="1"/>
    <col min="5" max="5" width="7.88671875" hidden="1" customWidth="1"/>
    <col min="6" max="6" width="9.33203125" customWidth="1"/>
    <col min="7" max="7" width="9.44140625" bestFit="1" customWidth="1"/>
    <col min="8" max="8" width="10.109375" hidden="1" customWidth="1"/>
    <col min="9" max="9" width="12.6640625" hidden="1" customWidth="1"/>
    <col min="10" max="10" width="13.109375" hidden="1" customWidth="1"/>
    <col min="11" max="11" width="12.5546875" customWidth="1"/>
    <col min="12" max="12" width="10.88671875" customWidth="1"/>
    <col min="13" max="13" width="10" customWidth="1"/>
    <col min="14" max="14" width="9.44140625" bestFit="1" customWidth="1"/>
    <col min="15" max="15" width="10.5546875" bestFit="1" customWidth="1"/>
  </cols>
  <sheetData>
    <row r="1" spans="1:12" hidden="1" x14ac:dyDescent="0.3">
      <c r="C1" s="60" t="s">
        <v>22</v>
      </c>
      <c r="D1" s="60"/>
      <c r="E1" s="60"/>
      <c r="F1" s="61" t="s">
        <v>23</v>
      </c>
      <c r="G1" s="61"/>
      <c r="H1" s="61"/>
      <c r="I1" s="61"/>
      <c r="J1" s="61"/>
      <c r="K1" s="61"/>
      <c r="L1" s="25"/>
    </row>
    <row r="2" spans="1:12" ht="42.75" hidden="1" customHeight="1" x14ac:dyDescent="0.3">
      <c r="B2" s="1" t="s">
        <v>25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229</v>
      </c>
      <c r="I2" s="1" t="s">
        <v>230</v>
      </c>
      <c r="J2" s="1" t="s">
        <v>231</v>
      </c>
      <c r="K2" s="1" t="s">
        <v>232</v>
      </c>
      <c r="L2" s="3" t="s">
        <v>26</v>
      </c>
    </row>
    <row r="3" spans="1:12" hidden="1" x14ac:dyDescent="0.3">
      <c r="A3" s="50" t="s">
        <v>24</v>
      </c>
      <c r="B3" t="s">
        <v>217</v>
      </c>
      <c r="C3" s="6">
        <v>1</v>
      </c>
      <c r="D3" s="6"/>
      <c r="E3" s="6"/>
      <c r="F3" s="6">
        <v>1</v>
      </c>
      <c r="G3" s="6"/>
      <c r="H3" s="6"/>
      <c r="I3" s="6"/>
      <c r="J3" s="6"/>
      <c r="K3" s="6"/>
      <c r="L3" s="2">
        <f>SUM(Table1212327363840[[#This Row],[Fresh lime]:[Fish n Chips]])</f>
        <v>2</v>
      </c>
    </row>
    <row r="4" spans="1:12" hidden="1" x14ac:dyDescent="0.3">
      <c r="A4" s="50"/>
      <c r="B4" t="s">
        <v>4</v>
      </c>
      <c r="C4" s="6"/>
      <c r="D4" s="6"/>
      <c r="E4" s="6"/>
      <c r="F4" s="6"/>
      <c r="G4" s="30"/>
      <c r="H4" s="6">
        <v>1</v>
      </c>
      <c r="I4" s="6"/>
      <c r="J4" s="6"/>
      <c r="K4" s="6"/>
      <c r="L4" s="2">
        <f>SUM(Table1212327363840[[#This Row],[Fresh lime]:[Fish n Chips]])</f>
        <v>1</v>
      </c>
    </row>
    <row r="5" spans="1:12" hidden="1" x14ac:dyDescent="0.3">
      <c r="A5" s="50"/>
      <c r="B5" t="s">
        <v>126</v>
      </c>
      <c r="C5" s="6"/>
      <c r="D5" s="6">
        <v>1</v>
      </c>
      <c r="E5" s="6"/>
      <c r="F5" s="6"/>
      <c r="G5" s="6"/>
      <c r="H5" s="6"/>
      <c r="I5" s="6"/>
      <c r="J5" s="6"/>
      <c r="K5" s="6">
        <v>1</v>
      </c>
      <c r="L5" s="2">
        <f>SUM(Table1212327363840[[#This Row],[Fresh lime]:[Fish n Chips]])</f>
        <v>2</v>
      </c>
    </row>
    <row r="6" spans="1:12" hidden="1" x14ac:dyDescent="0.3">
      <c r="A6" s="50"/>
      <c r="B6" s="29" t="s">
        <v>9</v>
      </c>
      <c r="C6" s="29"/>
      <c r="D6" s="29"/>
      <c r="E6" s="29"/>
      <c r="F6" s="29"/>
      <c r="G6" s="29"/>
      <c r="H6" s="29"/>
      <c r="I6" s="29"/>
      <c r="J6" s="29">
        <v>1</v>
      </c>
      <c r="K6" s="29"/>
      <c r="L6" s="2">
        <f>SUM(Table1212327363840[[#This Row],[Fresh lime]:[Fish n Chips]])</f>
        <v>1</v>
      </c>
    </row>
    <row r="7" spans="1:12" hidden="1" x14ac:dyDescent="0.3">
      <c r="A7" s="50"/>
      <c r="B7" t="s">
        <v>7</v>
      </c>
      <c r="C7" s="6"/>
      <c r="D7" s="6"/>
      <c r="E7" s="6">
        <v>1</v>
      </c>
      <c r="F7" s="6"/>
      <c r="G7" s="6"/>
      <c r="H7" s="6"/>
      <c r="I7" s="6">
        <v>1</v>
      </c>
      <c r="J7" s="6"/>
      <c r="K7" s="6"/>
      <c r="L7" s="2">
        <f>SUM(Table1212327363840[[#This Row],[Fresh lime]:[Fish n Chips]])</f>
        <v>2</v>
      </c>
    </row>
    <row r="8" spans="1:12" hidden="1" x14ac:dyDescent="0.3">
      <c r="A8" s="50"/>
      <c r="B8" t="s">
        <v>216</v>
      </c>
      <c r="C8" s="6"/>
      <c r="D8" s="6"/>
      <c r="E8" s="6"/>
      <c r="F8" s="6"/>
      <c r="G8" s="30">
        <v>1</v>
      </c>
      <c r="H8" s="6"/>
      <c r="I8" s="6"/>
      <c r="J8" s="6"/>
      <c r="K8" s="6"/>
      <c r="L8" s="2">
        <f>SUM(Table1212327363840[[#This Row],[Fresh lime]:[Fish n Chips]])</f>
        <v>1</v>
      </c>
    </row>
    <row r="9" spans="1:12" hidden="1" x14ac:dyDescent="0.3">
      <c r="B9" s="2" t="s">
        <v>26</v>
      </c>
      <c r="C9" s="2">
        <f t="shared" ref="C9:K9" si="0">SUM(C3:C8)</f>
        <v>1</v>
      </c>
      <c r="D9" s="2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>SUM(Table1212327363840[[#This Row],[Fresh lime]:[Fish n Chips]])</f>
        <v>9</v>
      </c>
    </row>
    <row r="10" spans="1:12" hidden="1" x14ac:dyDescent="0.3"/>
    <row r="11" spans="1:12" hidden="1" x14ac:dyDescent="0.3">
      <c r="B11" s="10" t="s">
        <v>29</v>
      </c>
      <c r="C11" s="5">
        <v>0</v>
      </c>
      <c r="D11">
        <v>1385.25</v>
      </c>
    </row>
    <row r="12" spans="1:12" hidden="1" x14ac:dyDescent="0.3">
      <c r="B12" s="10" t="s">
        <v>30</v>
      </c>
      <c r="C12" s="11">
        <v>145</v>
      </c>
      <c r="D12" s="11">
        <v>395</v>
      </c>
      <c r="E12" s="11">
        <v>395</v>
      </c>
      <c r="F12" s="11">
        <v>1025</v>
      </c>
      <c r="G12" s="11">
        <v>1395</v>
      </c>
      <c r="H12" s="11">
        <v>1395</v>
      </c>
      <c r="I12" s="11">
        <v>1395</v>
      </c>
      <c r="J12" s="11">
        <v>1695</v>
      </c>
      <c r="K12" s="11">
        <v>1395</v>
      </c>
      <c r="L12" s="11">
        <f>SUM(C12:K12)</f>
        <v>9235</v>
      </c>
    </row>
    <row r="13" spans="1:12" hidden="1" x14ac:dyDescent="0.3">
      <c r="B13" s="10" t="s">
        <v>31</v>
      </c>
      <c r="C13">
        <f t="shared" ref="C13:K13" si="1">C12*$C$11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 s="11">
        <f>SUM(C13:K13)</f>
        <v>0</v>
      </c>
    </row>
    <row r="14" spans="1:12" hidden="1" x14ac:dyDescent="0.3">
      <c r="B14" s="10" t="s">
        <v>94</v>
      </c>
      <c r="C14" s="6">
        <f>512.5+697.5+697.5</f>
        <v>1907.5</v>
      </c>
    </row>
    <row r="15" spans="1:12" hidden="1" x14ac:dyDescent="0.3">
      <c r="B15" s="10" t="s">
        <v>124</v>
      </c>
      <c r="C15" s="12">
        <f>C12+C13</f>
        <v>145</v>
      </c>
      <c r="D15" s="12">
        <f t="shared" ref="D15:K15" si="2">D12+D13</f>
        <v>395</v>
      </c>
      <c r="E15" s="12">
        <f t="shared" si="2"/>
        <v>395</v>
      </c>
      <c r="F15" s="12">
        <f t="shared" si="2"/>
        <v>1025</v>
      </c>
      <c r="G15" s="12">
        <f t="shared" si="2"/>
        <v>1395</v>
      </c>
      <c r="H15" s="12">
        <f t="shared" si="2"/>
        <v>1395</v>
      </c>
      <c r="I15" s="12">
        <f t="shared" si="2"/>
        <v>1395</v>
      </c>
      <c r="J15" s="12">
        <f t="shared" si="2"/>
        <v>1695</v>
      </c>
      <c r="K15" s="12">
        <f t="shared" si="2"/>
        <v>1395</v>
      </c>
      <c r="L15" s="11"/>
    </row>
    <row r="16" spans="1:12" hidden="1" x14ac:dyDescent="0.3">
      <c r="B16" s="10" t="s">
        <v>138</v>
      </c>
      <c r="C16">
        <v>923.5</v>
      </c>
    </row>
    <row r="17" spans="1:12" x14ac:dyDescent="0.3">
      <c r="C17" s="28" t="s">
        <v>22</v>
      </c>
      <c r="D17" s="28"/>
      <c r="E17" s="28"/>
      <c r="F17" s="25" t="s">
        <v>23</v>
      </c>
      <c r="G17" s="25"/>
      <c r="H17" s="25"/>
      <c r="I17" s="25"/>
      <c r="J17" s="25"/>
      <c r="K17" s="25"/>
      <c r="L17" s="25"/>
    </row>
    <row r="18" spans="1:12" ht="28.8" x14ac:dyDescent="0.3">
      <c r="B18" s="1" t="s">
        <v>25</v>
      </c>
      <c r="C18" s="1" t="s">
        <v>237</v>
      </c>
      <c r="D18" s="1" t="s">
        <v>40</v>
      </c>
      <c r="E18" s="1" t="s">
        <v>41</v>
      </c>
      <c r="F18" s="1" t="s">
        <v>239</v>
      </c>
      <c r="G18" s="1" t="s">
        <v>238</v>
      </c>
      <c r="H18" s="1" t="s">
        <v>49</v>
      </c>
      <c r="I18" s="1" t="s">
        <v>58</v>
      </c>
      <c r="J18" s="1" t="s">
        <v>59</v>
      </c>
      <c r="K18" s="1" t="s">
        <v>240</v>
      </c>
      <c r="L18" s="3" t="s">
        <v>26</v>
      </c>
    </row>
    <row r="19" spans="1:12" x14ac:dyDescent="0.3">
      <c r="A19" s="50" t="s">
        <v>24</v>
      </c>
      <c r="B19" t="s">
        <v>217</v>
      </c>
      <c r="C19" s="6">
        <v>100</v>
      </c>
      <c r="D19" s="6"/>
      <c r="E19" s="6"/>
      <c r="F19" s="6">
        <v>475</v>
      </c>
      <c r="G19" s="6"/>
      <c r="H19" s="6"/>
      <c r="I19" s="6"/>
      <c r="J19" s="6"/>
      <c r="K19" s="6">
        <v>190</v>
      </c>
      <c r="L19" s="51">
        <f>SUM(Table13222428373941[[#This Row],[Drink]:[Dumpling]])</f>
        <v>765</v>
      </c>
    </row>
    <row r="20" spans="1:12" x14ac:dyDescent="0.3">
      <c r="A20" s="50"/>
      <c r="B20" t="s">
        <v>4</v>
      </c>
      <c r="C20" s="6">
        <v>100</v>
      </c>
      <c r="D20" s="6"/>
      <c r="E20" s="6"/>
      <c r="F20" s="6">
        <v>475</v>
      </c>
      <c r="G20" s="6"/>
      <c r="H20" s="6"/>
      <c r="I20" s="6"/>
      <c r="J20" s="6"/>
      <c r="K20" s="6">
        <v>190</v>
      </c>
      <c r="L20" s="51">
        <f>SUM(Table13222428373941[[#This Row],[Drink]:[Dumpling]])</f>
        <v>765</v>
      </c>
    </row>
    <row r="21" spans="1:12" x14ac:dyDescent="0.3">
      <c r="A21" s="50"/>
      <c r="B21" t="s">
        <v>216</v>
      </c>
      <c r="C21" s="6">
        <v>100</v>
      </c>
      <c r="D21" s="6"/>
      <c r="E21" s="6"/>
      <c r="F21" s="6">
        <v>475</v>
      </c>
      <c r="G21" s="6"/>
      <c r="H21" s="6"/>
      <c r="I21" s="6"/>
      <c r="J21" s="6"/>
      <c r="K21" s="6">
        <v>190</v>
      </c>
      <c r="L21" s="51">
        <f>SUM(Table13222428373941[[#This Row],[Drink]:[Dumpling]])</f>
        <v>765</v>
      </c>
    </row>
    <row r="22" spans="1:12" s="4" customFormat="1" x14ac:dyDescent="0.3">
      <c r="A22" s="52"/>
      <c r="B22" s="29" t="s">
        <v>9</v>
      </c>
      <c r="C22" s="29"/>
      <c r="D22" s="29"/>
      <c r="E22" s="29"/>
      <c r="F22" s="29"/>
      <c r="G22" s="29">
        <v>800</v>
      </c>
      <c r="H22" s="29"/>
      <c r="I22" s="29"/>
      <c r="J22" s="29"/>
      <c r="K22" s="29">
        <v>190</v>
      </c>
      <c r="L22" s="51">
        <f>SUM(Table13222428373941[[#This Row],[Drink]:[Dumpling]])</f>
        <v>990</v>
      </c>
    </row>
    <row r="23" spans="1:12" x14ac:dyDescent="0.3">
      <c r="A23" s="50"/>
      <c r="B23" t="s">
        <v>7</v>
      </c>
      <c r="C23" s="6">
        <v>100</v>
      </c>
      <c r="D23" s="6"/>
      <c r="E23" s="6"/>
      <c r="F23" s="6">
        <v>475</v>
      </c>
      <c r="G23" s="6"/>
      <c r="H23" s="6"/>
      <c r="I23" s="6"/>
      <c r="J23" s="6"/>
      <c r="K23" s="6">
        <v>190</v>
      </c>
      <c r="L23" s="51">
        <f>SUM(Table13222428373941[[#This Row],[Drink]:[Dumpling]])</f>
        <v>765</v>
      </c>
    </row>
    <row r="24" spans="1:12" x14ac:dyDescent="0.3">
      <c r="A24" s="50"/>
      <c r="B24" t="s">
        <v>193</v>
      </c>
      <c r="C24" s="6"/>
      <c r="D24" s="6"/>
      <c r="E24" s="6"/>
      <c r="F24" s="6"/>
      <c r="G24" s="6"/>
      <c r="H24" s="6"/>
      <c r="I24" s="6"/>
      <c r="J24" s="6"/>
      <c r="K24" s="6">
        <v>950</v>
      </c>
      <c r="L24" s="51">
        <f>SUM(Table13222428373941[[#This Row],[Drink]:[Dumpling]])</f>
        <v>950</v>
      </c>
    </row>
    <row r="25" spans="1:12" x14ac:dyDescent="0.3">
      <c r="B25" s="2" t="s">
        <v>26</v>
      </c>
      <c r="C25" s="2">
        <f t="shared" ref="C25:K25" si="3">SUM(C19:C24)</f>
        <v>400</v>
      </c>
      <c r="D25" s="2">
        <f t="shared" si="3"/>
        <v>0</v>
      </c>
      <c r="E25" s="2">
        <f t="shared" si="3"/>
        <v>0</v>
      </c>
      <c r="F25" s="2">
        <f t="shared" si="3"/>
        <v>1900</v>
      </c>
      <c r="G25" s="2">
        <f t="shared" si="3"/>
        <v>800</v>
      </c>
      <c r="H25" s="2">
        <f t="shared" si="3"/>
        <v>0</v>
      </c>
      <c r="I25" s="2">
        <f t="shared" si="3"/>
        <v>0</v>
      </c>
      <c r="J25" s="2">
        <f t="shared" si="3"/>
        <v>0</v>
      </c>
      <c r="K25" s="2">
        <f t="shared" si="3"/>
        <v>1900</v>
      </c>
      <c r="L25" s="7">
        <f>SUM(Table13222428373941[[#This Row],[Drink]:[Dumpling]])</f>
        <v>5000</v>
      </c>
    </row>
  </sheetData>
  <mergeCells count="2">
    <mergeCell ref="C1:E1"/>
    <mergeCell ref="F1:K1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"/>
  <sheetViews>
    <sheetView topLeftCell="A18" workbookViewId="0">
      <selection activeCell="R25" sqref="R25"/>
    </sheetView>
  </sheetViews>
  <sheetFormatPr defaultRowHeight="14.4" x14ac:dyDescent="0.3"/>
  <cols>
    <col min="2" max="2" width="16.109375" bestFit="1" customWidth="1"/>
    <col min="3" max="3" width="10" bestFit="1" customWidth="1"/>
    <col min="4" max="4" width="7.33203125" hidden="1" customWidth="1"/>
    <col min="5" max="5" width="7.88671875" hidden="1" customWidth="1"/>
    <col min="6" max="6" width="9.33203125" customWidth="1"/>
    <col min="7" max="7" width="9.44140625" bestFit="1" customWidth="1"/>
    <col min="8" max="8" width="10.109375" hidden="1" customWidth="1"/>
    <col min="9" max="9" width="12.6640625" hidden="1" customWidth="1"/>
    <col min="10" max="10" width="13.109375" hidden="1" customWidth="1"/>
    <col min="11" max="11" width="12.5546875" hidden="1" customWidth="1"/>
    <col min="12" max="12" width="10.88671875" customWidth="1"/>
    <col min="13" max="13" width="13" bestFit="1" customWidth="1"/>
    <col min="14" max="14" width="8.88671875" hidden="1" customWidth="1"/>
    <col min="15" max="16" width="10" customWidth="1"/>
    <col min="17" max="17" width="9.44140625" bestFit="1" customWidth="1"/>
    <col min="18" max="18" width="10.5546875" bestFit="1" customWidth="1"/>
  </cols>
  <sheetData>
    <row r="1" spans="1:13" hidden="1" x14ac:dyDescent="0.3">
      <c r="C1" s="60" t="s">
        <v>22</v>
      </c>
      <c r="D1" s="60"/>
      <c r="E1" s="60"/>
      <c r="F1" s="61" t="s">
        <v>23</v>
      </c>
      <c r="G1" s="61"/>
      <c r="H1" s="61"/>
      <c r="I1" s="61"/>
      <c r="J1" s="61"/>
      <c r="K1" s="61"/>
      <c r="L1" s="25"/>
    </row>
    <row r="2" spans="1:13" ht="42.75" hidden="1" customHeight="1" x14ac:dyDescent="0.3">
      <c r="B2" s="1" t="s">
        <v>25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229</v>
      </c>
      <c r="I2" s="1" t="s">
        <v>230</v>
      </c>
      <c r="J2" s="1" t="s">
        <v>231</v>
      </c>
      <c r="K2" s="1" t="s">
        <v>232</v>
      </c>
      <c r="L2" s="3" t="s">
        <v>26</v>
      </c>
      <c r="M2" s="3"/>
    </row>
    <row r="3" spans="1:13" hidden="1" x14ac:dyDescent="0.3">
      <c r="A3" s="50" t="s">
        <v>24</v>
      </c>
      <c r="B3" t="s">
        <v>217</v>
      </c>
      <c r="C3" s="6">
        <v>1</v>
      </c>
      <c r="D3" s="6"/>
      <c r="E3" s="6"/>
      <c r="F3" s="6">
        <v>1</v>
      </c>
      <c r="G3" s="6"/>
      <c r="H3" s="6"/>
      <c r="I3" s="6"/>
      <c r="J3" s="6"/>
      <c r="K3" s="6"/>
      <c r="L3" s="2">
        <f>SUM(Table12123273638[[#This Row],[Fresh lime]:[Fish n Chips]])</f>
        <v>2</v>
      </c>
      <c r="M3" s="2"/>
    </row>
    <row r="4" spans="1:13" hidden="1" x14ac:dyDescent="0.3">
      <c r="A4" s="50"/>
      <c r="B4" t="s">
        <v>4</v>
      </c>
      <c r="C4" s="6"/>
      <c r="D4" s="6"/>
      <c r="E4" s="6"/>
      <c r="F4" s="6"/>
      <c r="G4" s="30"/>
      <c r="H4" s="6">
        <v>1</v>
      </c>
      <c r="I4" s="6"/>
      <c r="J4" s="6"/>
      <c r="K4" s="6"/>
      <c r="L4" s="2">
        <f>SUM(Table12123273638[[#This Row],[Fresh lime]:[Fish n Chips]])</f>
        <v>1</v>
      </c>
      <c r="M4" s="2"/>
    </row>
    <row r="5" spans="1:13" hidden="1" x14ac:dyDescent="0.3">
      <c r="A5" s="50"/>
      <c r="B5" t="s">
        <v>126</v>
      </c>
      <c r="C5" s="6"/>
      <c r="D5" s="6">
        <v>1</v>
      </c>
      <c r="E5" s="6"/>
      <c r="F5" s="6"/>
      <c r="G5" s="6"/>
      <c r="H5" s="6"/>
      <c r="I5" s="6"/>
      <c r="J5" s="6"/>
      <c r="K5" s="6">
        <v>1</v>
      </c>
      <c r="L5" s="2">
        <f>SUM(Table12123273638[[#This Row],[Fresh lime]:[Fish n Chips]])</f>
        <v>2</v>
      </c>
      <c r="M5" s="2"/>
    </row>
    <row r="6" spans="1:13" hidden="1" x14ac:dyDescent="0.3">
      <c r="A6" s="50"/>
      <c r="B6" s="29" t="s">
        <v>9</v>
      </c>
      <c r="C6" s="29"/>
      <c r="D6" s="29"/>
      <c r="E6" s="29"/>
      <c r="F6" s="29"/>
      <c r="G6" s="29"/>
      <c r="H6" s="29"/>
      <c r="I6" s="29"/>
      <c r="J6" s="29">
        <v>1</v>
      </c>
      <c r="K6" s="29"/>
      <c r="L6" s="2">
        <f>SUM(Table12123273638[[#This Row],[Fresh lime]:[Fish n Chips]])</f>
        <v>1</v>
      </c>
      <c r="M6" s="2"/>
    </row>
    <row r="7" spans="1:13" hidden="1" x14ac:dyDescent="0.3">
      <c r="A7" s="50"/>
      <c r="B7" t="s">
        <v>7</v>
      </c>
      <c r="C7" s="6"/>
      <c r="D7" s="6"/>
      <c r="E7" s="6">
        <v>1</v>
      </c>
      <c r="F7" s="6"/>
      <c r="G7" s="6"/>
      <c r="H7" s="6"/>
      <c r="I7" s="6">
        <v>1</v>
      </c>
      <c r="J7" s="6"/>
      <c r="K7" s="6"/>
      <c r="L7" s="2">
        <f>SUM(Table12123273638[[#This Row],[Fresh lime]:[Fish n Chips]])</f>
        <v>2</v>
      </c>
      <c r="M7" s="2"/>
    </row>
    <row r="8" spans="1:13" hidden="1" x14ac:dyDescent="0.3">
      <c r="A8" s="50"/>
      <c r="B8" t="s">
        <v>216</v>
      </c>
      <c r="C8" s="6"/>
      <c r="D8" s="6"/>
      <c r="E8" s="6"/>
      <c r="F8" s="6"/>
      <c r="G8" s="30">
        <v>1</v>
      </c>
      <c r="H8" s="6"/>
      <c r="I8" s="6"/>
      <c r="J8" s="6"/>
      <c r="K8" s="6"/>
      <c r="L8" s="2">
        <f>SUM(Table12123273638[[#This Row],[Fresh lime]:[Fish n Chips]])</f>
        <v>1</v>
      </c>
      <c r="M8" s="2"/>
    </row>
    <row r="9" spans="1:13" hidden="1" x14ac:dyDescent="0.3">
      <c r="B9" s="2" t="s">
        <v>26</v>
      </c>
      <c r="C9" s="2">
        <f t="shared" ref="C9:K9" si="0">SUM(C3:C8)</f>
        <v>1</v>
      </c>
      <c r="D9" s="2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>SUM(Table12123273638[[#This Row],[Fresh lime]:[Fish n Chips]])</f>
        <v>9</v>
      </c>
      <c r="M9" s="2"/>
    </row>
    <row r="10" spans="1:13" hidden="1" x14ac:dyDescent="0.3"/>
    <row r="11" spans="1:13" hidden="1" x14ac:dyDescent="0.3">
      <c r="B11" s="10" t="s">
        <v>29</v>
      </c>
      <c r="C11" s="5">
        <v>0</v>
      </c>
      <c r="D11">
        <v>1385.25</v>
      </c>
    </row>
    <row r="12" spans="1:13" hidden="1" x14ac:dyDescent="0.3">
      <c r="B12" s="10" t="s">
        <v>30</v>
      </c>
      <c r="C12" s="11">
        <v>145</v>
      </c>
      <c r="D12" s="11">
        <v>395</v>
      </c>
      <c r="E12" s="11">
        <v>395</v>
      </c>
      <c r="F12" s="11">
        <v>1025</v>
      </c>
      <c r="G12" s="11">
        <v>1395</v>
      </c>
      <c r="H12" s="11">
        <v>1395</v>
      </c>
      <c r="I12" s="11">
        <v>1395</v>
      </c>
      <c r="J12" s="11">
        <v>1695</v>
      </c>
      <c r="K12" s="11">
        <v>1395</v>
      </c>
      <c r="L12" s="11">
        <f>SUM(C12:K12)</f>
        <v>9235</v>
      </c>
      <c r="M12" s="11"/>
    </row>
    <row r="13" spans="1:13" hidden="1" x14ac:dyDescent="0.3">
      <c r="B13" s="10" t="s">
        <v>31</v>
      </c>
      <c r="C13">
        <f t="shared" ref="C13:K13" si="1">C12*$C$11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 s="11">
        <f>SUM(C13:K13)</f>
        <v>0</v>
      </c>
      <c r="M13" s="11"/>
    </row>
    <row r="14" spans="1:13" hidden="1" x14ac:dyDescent="0.3">
      <c r="B14" s="10" t="s">
        <v>94</v>
      </c>
      <c r="C14" s="6">
        <f>512.5+697.5+697.5</f>
        <v>1907.5</v>
      </c>
    </row>
    <row r="15" spans="1:13" hidden="1" x14ac:dyDescent="0.3">
      <c r="B15" s="10" t="s">
        <v>124</v>
      </c>
      <c r="C15" s="12">
        <f>C12+C13</f>
        <v>145</v>
      </c>
      <c r="D15" s="12">
        <f t="shared" ref="D15:K15" si="2">D12+D13</f>
        <v>395</v>
      </c>
      <c r="E15" s="12">
        <f t="shared" si="2"/>
        <v>395</v>
      </c>
      <c r="F15" s="12">
        <f t="shared" si="2"/>
        <v>1025</v>
      </c>
      <c r="G15" s="12">
        <f t="shared" si="2"/>
        <v>1395</v>
      </c>
      <c r="H15" s="12">
        <f t="shared" si="2"/>
        <v>1395</v>
      </c>
      <c r="I15" s="12">
        <f t="shared" si="2"/>
        <v>1395</v>
      </c>
      <c r="J15" s="12">
        <f t="shared" si="2"/>
        <v>1695</v>
      </c>
      <c r="K15" s="12">
        <f t="shared" si="2"/>
        <v>1395</v>
      </c>
      <c r="L15" s="11"/>
      <c r="M15" s="11"/>
    </row>
    <row r="16" spans="1:13" hidden="1" x14ac:dyDescent="0.3">
      <c r="B16" s="10" t="s">
        <v>138</v>
      </c>
      <c r="C16">
        <v>923.5</v>
      </c>
    </row>
    <row r="17" spans="1:15" x14ac:dyDescent="0.3">
      <c r="C17" s="28" t="s">
        <v>22</v>
      </c>
      <c r="D17" s="28"/>
      <c r="E17" s="28"/>
      <c r="F17" s="25" t="s">
        <v>23</v>
      </c>
      <c r="G17" s="25"/>
      <c r="H17" s="25"/>
      <c r="I17" s="25"/>
      <c r="J17" s="25"/>
      <c r="K17" s="25"/>
      <c r="L17" s="25"/>
      <c r="M17" s="25"/>
      <c r="N17" s="25"/>
    </row>
    <row r="18" spans="1:15" ht="43.2" x14ac:dyDescent="0.3">
      <c r="B18" s="1" t="s">
        <v>25</v>
      </c>
      <c r="C18" s="1" t="s">
        <v>37</v>
      </c>
      <c r="D18" s="1" t="s">
        <v>40</v>
      </c>
      <c r="E18" s="1" t="s">
        <v>41</v>
      </c>
      <c r="F18" s="1" t="s">
        <v>235</v>
      </c>
      <c r="G18" s="1" t="s">
        <v>236</v>
      </c>
      <c r="H18" s="1" t="s">
        <v>49</v>
      </c>
      <c r="I18" s="1" t="s">
        <v>58</v>
      </c>
      <c r="J18" s="1" t="s">
        <v>59</v>
      </c>
      <c r="K18" s="1" t="s">
        <v>60</v>
      </c>
      <c r="L18" s="3" t="s">
        <v>26</v>
      </c>
      <c r="M18" s="3" t="s">
        <v>233</v>
      </c>
      <c r="N18" s="8" t="s">
        <v>34</v>
      </c>
      <c r="O18" s="1" t="s">
        <v>234</v>
      </c>
    </row>
    <row r="19" spans="1:15" x14ac:dyDescent="0.3">
      <c r="A19" s="50" t="s">
        <v>24</v>
      </c>
      <c r="B19" t="s">
        <v>217</v>
      </c>
      <c r="C19" s="6"/>
      <c r="D19" s="6"/>
      <c r="E19" s="6"/>
      <c r="F19" s="6">
        <v>1125</v>
      </c>
      <c r="G19" s="6"/>
      <c r="H19" s="6"/>
      <c r="I19" s="6"/>
      <c r="J19" s="6"/>
      <c r="K19" s="6"/>
      <c r="L19" s="51">
        <f>SUM(Table132224283739[[#This Row],[Water]:[Doner]])</f>
        <v>1125</v>
      </c>
      <c r="M19" s="51">
        <f>Table132224283739[[#This Row],[Total]]*15%</f>
        <v>168.75</v>
      </c>
      <c r="N19" s="27" t="e">
        <f>Table132224283739[[#This Row],[Total]]+#REF!+#REF!-O19</f>
        <v>#REF!</v>
      </c>
      <c r="O19" s="27">
        <f>Table132224283739[[#This Row],[Total]]+Table132224283739[[#This Row],[TAX]]</f>
        <v>1293.75</v>
      </c>
    </row>
    <row r="20" spans="1:15" x14ac:dyDescent="0.3">
      <c r="A20" s="50"/>
      <c r="B20" t="s">
        <v>4</v>
      </c>
      <c r="C20" s="6">
        <v>99</v>
      </c>
      <c r="D20" s="6"/>
      <c r="E20" s="6"/>
      <c r="F20" s="6">
        <v>1125</v>
      </c>
      <c r="G20" s="6"/>
      <c r="H20" s="6"/>
      <c r="I20" s="6"/>
      <c r="J20" s="6"/>
      <c r="K20" s="6"/>
      <c r="L20" s="51">
        <f>SUM(Table132224283739[[#This Row],[Water]:[Doner]])</f>
        <v>1224</v>
      </c>
      <c r="M20" s="51">
        <f>Table132224283739[[#This Row],[Total]]*15%</f>
        <v>183.6</v>
      </c>
      <c r="N20" s="27" t="e">
        <f>Table132224283739[[#This Row],[Total]]+#REF!+#REF!-O20</f>
        <v>#REF!</v>
      </c>
      <c r="O20" s="27">
        <f>Table132224283739[[#This Row],[Total]]+Table132224283739[[#This Row],[TAX]]</f>
        <v>1407.6</v>
      </c>
    </row>
    <row r="21" spans="1:15" x14ac:dyDescent="0.3">
      <c r="A21" s="50"/>
      <c r="B21" t="s">
        <v>6</v>
      </c>
      <c r="C21" s="6">
        <v>99</v>
      </c>
      <c r="D21" s="6"/>
      <c r="E21" s="6"/>
      <c r="F21" s="6">
        <v>1125</v>
      </c>
      <c r="G21" s="6"/>
      <c r="H21" s="6"/>
      <c r="I21" s="6"/>
      <c r="J21" s="6"/>
      <c r="K21" s="6"/>
      <c r="L21" s="51">
        <f>SUM(Table132224283739[[#This Row],[Water]:[Doner]])</f>
        <v>1224</v>
      </c>
      <c r="M21" s="51">
        <f>Table132224283739[[#This Row],[Total]]*15%</f>
        <v>183.6</v>
      </c>
      <c r="N21" s="27" t="e">
        <f>Table132224283739[[#This Row],[Total]]+#REF!+#REF!-O21</f>
        <v>#REF!</v>
      </c>
      <c r="O21" s="27">
        <f>Table132224283739[[#This Row],[Total]]+Table132224283739[[#This Row],[TAX]]</f>
        <v>1407.6</v>
      </c>
    </row>
    <row r="22" spans="1:15" x14ac:dyDescent="0.3">
      <c r="A22" s="50"/>
      <c r="B22" s="29" t="s">
        <v>9</v>
      </c>
      <c r="C22" s="6"/>
      <c r="D22" s="6"/>
      <c r="E22" s="6"/>
      <c r="F22" s="6"/>
      <c r="G22" s="6">
        <v>525</v>
      </c>
      <c r="H22" s="6"/>
      <c r="I22" s="6"/>
      <c r="J22" s="6"/>
      <c r="K22" s="6"/>
      <c r="L22" s="51">
        <f>SUM(Table132224283739[[#This Row],[Water]:[Doner]])</f>
        <v>525</v>
      </c>
      <c r="M22" s="51">
        <f>Table132224283739[[#This Row],[Total]]*15%</f>
        <v>78.75</v>
      </c>
      <c r="N22" s="27"/>
      <c r="O22" s="27">
        <f>Table132224283739[[#This Row],[Total]]+Table132224283739[[#This Row],[TAX]]</f>
        <v>603.75</v>
      </c>
    </row>
    <row r="23" spans="1:15" x14ac:dyDescent="0.3">
      <c r="A23" s="50"/>
      <c r="B23" t="s">
        <v>7</v>
      </c>
      <c r="C23" s="6"/>
      <c r="D23" s="6"/>
      <c r="E23" s="6"/>
      <c r="F23" s="6"/>
      <c r="G23" s="6">
        <v>525</v>
      </c>
      <c r="H23" s="6"/>
      <c r="I23" s="6"/>
      <c r="J23" s="6"/>
      <c r="K23" s="6"/>
      <c r="L23" s="51">
        <f>SUM(Table132224283739[[#This Row],[Water]:[Doner]])</f>
        <v>525</v>
      </c>
      <c r="M23" s="51">
        <f>Table132224283739[[#This Row],[Total]]*15%</f>
        <v>78.75</v>
      </c>
      <c r="N23" s="27" t="e">
        <f>Table132224283739[[#This Row],[Total]]+#REF!+#REF!-O23</f>
        <v>#REF!</v>
      </c>
      <c r="O23" s="27">
        <f>Table132224283739[[#This Row],[Total]]+Table132224283739[[#This Row],[TAX]]</f>
        <v>603.75</v>
      </c>
    </row>
    <row r="24" spans="1:15" x14ac:dyDescent="0.3">
      <c r="A24" s="50"/>
      <c r="B24" t="s">
        <v>216</v>
      </c>
      <c r="C24" s="6"/>
      <c r="D24" s="6"/>
      <c r="E24" s="6"/>
      <c r="F24" s="6">
        <v>1125</v>
      </c>
      <c r="G24" s="6"/>
      <c r="H24" s="6"/>
      <c r="I24" s="6"/>
      <c r="J24" s="6"/>
      <c r="K24" s="6"/>
      <c r="L24" s="51">
        <f>SUM(Table132224283739[[#This Row],[Water]:[Doner]])</f>
        <v>1125</v>
      </c>
      <c r="M24" s="51">
        <f>Table132224283739[[#This Row],[Total]]*15%</f>
        <v>168.75</v>
      </c>
      <c r="N24" s="27" t="e">
        <f>Table132224283739[[#This Row],[Total]]+#REF!+#REF!-O24</f>
        <v>#REF!</v>
      </c>
      <c r="O24" s="27">
        <f>Table132224283739[[#This Row],[Total]]+Table132224283739[[#This Row],[TAX]]</f>
        <v>1293.75</v>
      </c>
    </row>
    <row r="25" spans="1:15" x14ac:dyDescent="0.3">
      <c r="B25" s="2" t="s">
        <v>26</v>
      </c>
      <c r="C25" s="2">
        <f t="shared" ref="C25:K25" si="3">SUM(C19:C24)</f>
        <v>198</v>
      </c>
      <c r="D25" s="2">
        <f t="shared" si="3"/>
        <v>0</v>
      </c>
      <c r="E25" s="2">
        <f t="shared" si="3"/>
        <v>0</v>
      </c>
      <c r="F25" s="2">
        <f t="shared" si="3"/>
        <v>4500</v>
      </c>
      <c r="G25" s="2">
        <f t="shared" si="3"/>
        <v>1050</v>
      </c>
      <c r="H25" s="2">
        <f t="shared" si="3"/>
        <v>0</v>
      </c>
      <c r="I25" s="2">
        <f t="shared" si="3"/>
        <v>0</v>
      </c>
      <c r="J25" s="2">
        <f t="shared" si="3"/>
        <v>0</v>
      </c>
      <c r="K25" s="2">
        <f t="shared" si="3"/>
        <v>0</v>
      </c>
      <c r="L25" s="2">
        <f>SUM(Table132224283739[[#This Row],[Water]:[Doner]])</f>
        <v>5748</v>
      </c>
      <c r="M25" s="7"/>
      <c r="N25" s="9" t="e">
        <f>SUM(N19:N24)</f>
        <v>#REF!</v>
      </c>
      <c r="O25" s="7">
        <f>SUM(O19:O24)</f>
        <v>6610.2</v>
      </c>
    </row>
  </sheetData>
  <mergeCells count="2">
    <mergeCell ref="C1:E1"/>
    <mergeCell ref="F1:K1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topLeftCell="A17" workbookViewId="0">
      <selection activeCell="D35" sqref="D35"/>
    </sheetView>
  </sheetViews>
  <sheetFormatPr defaultRowHeight="14.4" x14ac:dyDescent="0.3"/>
  <cols>
    <col min="2" max="2" width="16.109375" bestFit="1" customWidth="1"/>
    <col min="3" max="3" width="10" bestFit="1" customWidth="1"/>
    <col min="4" max="4" width="7.33203125" customWidth="1"/>
    <col min="5" max="5" width="7.88671875" customWidth="1"/>
    <col min="6" max="6" width="9.33203125" customWidth="1"/>
    <col min="7" max="7" width="9.44140625" bestFit="1" customWidth="1"/>
    <col min="8" max="8" width="10.109375" customWidth="1"/>
    <col min="9" max="9" width="12.6640625" customWidth="1"/>
    <col min="10" max="10" width="13.109375" bestFit="1" customWidth="1"/>
    <col min="11" max="11" width="12.5546875" bestFit="1" customWidth="1"/>
    <col min="12" max="12" width="10.88671875" customWidth="1"/>
    <col min="13" max="13" width="13" bestFit="1" customWidth="1"/>
    <col min="14" max="14" width="8.6640625" customWidth="1"/>
    <col min="15" max="15" width="10.88671875" customWidth="1"/>
    <col min="16" max="16" width="8.88671875" hidden="1" customWidth="1"/>
    <col min="17" max="18" width="10" customWidth="1"/>
    <col min="19" max="19" width="9.44140625" bestFit="1" customWidth="1"/>
    <col min="20" max="20" width="10.5546875" bestFit="1" customWidth="1"/>
  </cols>
  <sheetData>
    <row r="1" spans="1:13" hidden="1" x14ac:dyDescent="0.3">
      <c r="C1" s="60" t="s">
        <v>22</v>
      </c>
      <c r="D1" s="60"/>
      <c r="E1" s="60"/>
      <c r="F1" s="61" t="s">
        <v>23</v>
      </c>
      <c r="G1" s="61"/>
      <c r="H1" s="61"/>
      <c r="I1" s="61"/>
      <c r="J1" s="61"/>
      <c r="K1" s="61"/>
      <c r="L1" s="25"/>
    </row>
    <row r="2" spans="1:13" ht="42.75" hidden="1" customHeight="1" x14ac:dyDescent="0.3">
      <c r="B2" s="1" t="s">
        <v>25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229</v>
      </c>
      <c r="I2" s="1" t="s">
        <v>230</v>
      </c>
      <c r="J2" s="1" t="s">
        <v>231</v>
      </c>
      <c r="K2" s="1" t="s">
        <v>232</v>
      </c>
      <c r="L2" s="3" t="s">
        <v>26</v>
      </c>
      <c r="M2" s="3"/>
    </row>
    <row r="3" spans="1:13" hidden="1" x14ac:dyDescent="0.3">
      <c r="A3" s="50" t="s">
        <v>24</v>
      </c>
      <c r="B3" t="s">
        <v>217</v>
      </c>
      <c r="C3" s="6">
        <v>1</v>
      </c>
      <c r="D3" s="6"/>
      <c r="E3" s="6"/>
      <c r="F3" s="6">
        <v>1</v>
      </c>
      <c r="G3" s="6"/>
      <c r="H3" s="6"/>
      <c r="I3" s="6"/>
      <c r="J3" s="6"/>
      <c r="K3" s="6"/>
      <c r="L3" s="2">
        <f>SUM(Table121232736[[#This Row],[Fresh lime]:[Fish n Chips]])</f>
        <v>2</v>
      </c>
      <c r="M3" s="2"/>
    </row>
    <row r="4" spans="1:13" hidden="1" x14ac:dyDescent="0.3">
      <c r="A4" s="50"/>
      <c r="B4" t="s">
        <v>4</v>
      </c>
      <c r="C4" s="6"/>
      <c r="D4" s="6"/>
      <c r="E4" s="6"/>
      <c r="F4" s="6"/>
      <c r="G4" s="30"/>
      <c r="H4" s="6">
        <v>1</v>
      </c>
      <c r="I4" s="6"/>
      <c r="J4" s="6"/>
      <c r="K4" s="6"/>
      <c r="L4" s="2">
        <f>SUM(Table121232736[[#This Row],[Fresh lime]:[Fish n Chips]])</f>
        <v>1</v>
      </c>
      <c r="M4" s="2"/>
    </row>
    <row r="5" spans="1:13" hidden="1" x14ac:dyDescent="0.3">
      <c r="A5" s="50"/>
      <c r="B5" t="s">
        <v>126</v>
      </c>
      <c r="C5" s="6"/>
      <c r="D5" s="6">
        <v>1</v>
      </c>
      <c r="E5" s="6"/>
      <c r="F5" s="6"/>
      <c r="G5" s="6"/>
      <c r="H5" s="6"/>
      <c r="I5" s="6"/>
      <c r="J5" s="6"/>
      <c r="K5" s="6">
        <v>1</v>
      </c>
      <c r="L5" s="2">
        <f>SUM(Table121232736[[#This Row],[Fresh lime]:[Fish n Chips]])</f>
        <v>2</v>
      </c>
      <c r="M5" s="2"/>
    </row>
    <row r="6" spans="1:13" hidden="1" x14ac:dyDescent="0.3">
      <c r="A6" s="50"/>
      <c r="B6" s="29" t="s">
        <v>9</v>
      </c>
      <c r="C6" s="29"/>
      <c r="D6" s="29"/>
      <c r="E6" s="29"/>
      <c r="F6" s="29"/>
      <c r="G6" s="29"/>
      <c r="H6" s="29"/>
      <c r="I6" s="29"/>
      <c r="J6" s="29">
        <v>1</v>
      </c>
      <c r="K6" s="29"/>
      <c r="L6" s="2">
        <f>SUM(Table121232736[[#This Row],[Fresh lime]:[Fish n Chips]])</f>
        <v>1</v>
      </c>
      <c r="M6" s="2"/>
    </row>
    <row r="7" spans="1:13" hidden="1" x14ac:dyDescent="0.3">
      <c r="A7" s="50"/>
      <c r="B7" t="s">
        <v>7</v>
      </c>
      <c r="C7" s="6"/>
      <c r="D7" s="6"/>
      <c r="E7" s="6">
        <v>1</v>
      </c>
      <c r="F7" s="6"/>
      <c r="G7" s="6"/>
      <c r="H7" s="6"/>
      <c r="I7" s="6">
        <v>1</v>
      </c>
      <c r="J7" s="6"/>
      <c r="K7" s="6"/>
      <c r="L7" s="2">
        <f>SUM(Table121232736[[#This Row],[Fresh lime]:[Fish n Chips]])</f>
        <v>2</v>
      </c>
      <c r="M7" s="2"/>
    </row>
    <row r="8" spans="1:13" hidden="1" x14ac:dyDescent="0.3">
      <c r="A8" s="50"/>
      <c r="B8" t="s">
        <v>216</v>
      </c>
      <c r="C8" s="6"/>
      <c r="D8" s="6"/>
      <c r="E8" s="6"/>
      <c r="F8" s="6"/>
      <c r="G8" s="30">
        <v>1</v>
      </c>
      <c r="H8" s="6"/>
      <c r="I8" s="6"/>
      <c r="J8" s="6"/>
      <c r="K8" s="6"/>
      <c r="L8" s="2">
        <f>SUM(Table121232736[[#This Row],[Fresh lime]:[Fish n Chips]])</f>
        <v>1</v>
      </c>
      <c r="M8" s="2"/>
    </row>
    <row r="9" spans="1:13" hidden="1" x14ac:dyDescent="0.3">
      <c r="B9" s="2" t="s">
        <v>26</v>
      </c>
      <c r="C9" s="2">
        <f t="shared" ref="C9:K9" si="0">SUM(C3:C8)</f>
        <v>1</v>
      </c>
      <c r="D9" s="2">
        <f t="shared" si="0"/>
        <v>1</v>
      </c>
      <c r="E9" s="2">
        <f t="shared" si="0"/>
        <v>1</v>
      </c>
      <c r="F9" s="2">
        <f t="shared" si="0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>SUM(Table121232736[[#This Row],[Fresh lime]:[Fish n Chips]])</f>
        <v>9</v>
      </c>
      <c r="M9" s="2"/>
    </row>
    <row r="10" spans="1:13" hidden="1" x14ac:dyDescent="0.3"/>
    <row r="11" spans="1:13" hidden="1" x14ac:dyDescent="0.3">
      <c r="B11" s="10" t="s">
        <v>29</v>
      </c>
      <c r="C11" s="5">
        <v>0</v>
      </c>
      <c r="D11">
        <v>1385.25</v>
      </c>
    </row>
    <row r="12" spans="1:13" hidden="1" x14ac:dyDescent="0.3">
      <c r="B12" s="10" t="s">
        <v>30</v>
      </c>
      <c r="C12" s="11">
        <v>145</v>
      </c>
      <c r="D12" s="11">
        <v>395</v>
      </c>
      <c r="E12" s="11">
        <v>395</v>
      </c>
      <c r="F12" s="11">
        <v>1025</v>
      </c>
      <c r="G12" s="11">
        <v>1395</v>
      </c>
      <c r="H12" s="11">
        <v>1395</v>
      </c>
      <c r="I12" s="11">
        <v>1395</v>
      </c>
      <c r="J12" s="11">
        <v>1695</v>
      </c>
      <c r="K12" s="11">
        <v>1395</v>
      </c>
      <c r="L12" s="11">
        <f>SUM(C12:K12)</f>
        <v>9235</v>
      </c>
      <c r="M12" s="11"/>
    </row>
    <row r="13" spans="1:13" hidden="1" x14ac:dyDescent="0.3">
      <c r="B13" s="10" t="s">
        <v>31</v>
      </c>
      <c r="C13">
        <f t="shared" ref="C13:K13" si="1">C12*$C$11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 s="11">
        <f>SUM(C13:K13)</f>
        <v>0</v>
      </c>
      <c r="M13" s="11"/>
    </row>
    <row r="14" spans="1:13" hidden="1" x14ac:dyDescent="0.3">
      <c r="B14" s="10" t="s">
        <v>94</v>
      </c>
      <c r="C14" s="6">
        <f>512.5+697.5+697.5</f>
        <v>1907.5</v>
      </c>
    </row>
    <row r="15" spans="1:13" hidden="1" x14ac:dyDescent="0.3">
      <c r="B15" s="10" t="s">
        <v>124</v>
      </c>
      <c r="C15" s="12">
        <f>C12+C13</f>
        <v>145</v>
      </c>
      <c r="D15" s="12">
        <f t="shared" ref="D15:K15" si="2">D12+D13</f>
        <v>395</v>
      </c>
      <c r="E15" s="12">
        <f t="shared" si="2"/>
        <v>395</v>
      </c>
      <c r="F15" s="12">
        <f t="shared" si="2"/>
        <v>1025</v>
      </c>
      <c r="G15" s="12">
        <f t="shared" si="2"/>
        <v>1395</v>
      </c>
      <c r="H15" s="12">
        <f t="shared" si="2"/>
        <v>1395</v>
      </c>
      <c r="I15" s="12">
        <f t="shared" si="2"/>
        <v>1395</v>
      </c>
      <c r="J15" s="12">
        <f t="shared" si="2"/>
        <v>1695</v>
      </c>
      <c r="K15" s="12">
        <f t="shared" si="2"/>
        <v>1395</v>
      </c>
      <c r="L15" s="11"/>
      <c r="M15" s="11"/>
    </row>
    <row r="16" spans="1:13" hidden="1" x14ac:dyDescent="0.3">
      <c r="B16" s="10" t="s">
        <v>138</v>
      </c>
      <c r="C16">
        <v>923.5</v>
      </c>
    </row>
    <row r="17" spans="1:17" x14ac:dyDescent="0.3">
      <c r="C17" s="60" t="s">
        <v>22</v>
      </c>
      <c r="D17" s="60"/>
      <c r="E17" s="60"/>
      <c r="F17" s="61" t="s">
        <v>23</v>
      </c>
      <c r="G17" s="61"/>
      <c r="H17" s="61"/>
      <c r="I17" s="61"/>
      <c r="J17" s="61"/>
      <c r="K17" s="61"/>
      <c r="L17" s="25"/>
      <c r="M17" s="25"/>
      <c r="N17" s="25"/>
      <c r="O17" s="25"/>
      <c r="P17" s="25"/>
    </row>
    <row r="18" spans="1:17" ht="43.2" x14ac:dyDescent="0.3">
      <c r="B18" s="1" t="s">
        <v>25</v>
      </c>
      <c r="C18" s="1" t="s">
        <v>224</v>
      </c>
      <c r="D18" s="1" t="s">
        <v>225</v>
      </c>
      <c r="E18" s="1" t="s">
        <v>226</v>
      </c>
      <c r="F18" s="1" t="s">
        <v>227</v>
      </c>
      <c r="G18" s="1" t="s">
        <v>228</v>
      </c>
      <c r="H18" s="1" t="s">
        <v>229</v>
      </c>
      <c r="I18" s="1" t="s">
        <v>230</v>
      </c>
      <c r="J18" s="1" t="s">
        <v>231</v>
      </c>
      <c r="K18" s="1" t="s">
        <v>232</v>
      </c>
      <c r="L18" s="3" t="s">
        <v>26</v>
      </c>
      <c r="M18" s="3" t="s">
        <v>233</v>
      </c>
      <c r="N18" s="3" t="s">
        <v>138</v>
      </c>
      <c r="O18" s="1" t="s">
        <v>94</v>
      </c>
      <c r="P18" s="8" t="s">
        <v>34</v>
      </c>
      <c r="Q18" s="1" t="s">
        <v>234</v>
      </c>
    </row>
    <row r="19" spans="1:17" x14ac:dyDescent="0.3">
      <c r="A19" s="50" t="s">
        <v>24</v>
      </c>
      <c r="B19" t="s">
        <v>217</v>
      </c>
      <c r="C19" s="6">
        <f>C3*C$15</f>
        <v>145</v>
      </c>
      <c r="D19" s="6"/>
      <c r="E19" s="6"/>
      <c r="F19" s="6">
        <f>F3*F$15</f>
        <v>1025</v>
      </c>
      <c r="G19" s="6"/>
      <c r="H19" s="6"/>
      <c r="I19" s="6"/>
      <c r="J19" s="6"/>
      <c r="K19" s="6"/>
      <c r="L19" s="51">
        <f>SUM(Table1322242837[[#This Row],[Fresh lime]:[Fish n Chips]])</f>
        <v>1170</v>
      </c>
      <c r="M19" s="51">
        <f t="shared" ref="M19:M24" si="3">$D$11/6</f>
        <v>230.875</v>
      </c>
      <c r="N19" s="51">
        <f t="shared" ref="N19:N24" si="4">$C$16/6</f>
        <v>153.91666666666666</v>
      </c>
      <c r="O19" s="6">
        <f>$C$14/6</f>
        <v>317.91666666666669</v>
      </c>
      <c r="P19" s="27">
        <f>Table1322242837[[#This Row],[Total]]+Table1322242837[[#This Row],[Service charges]]+Table1322242837[[#This Row],[Discount]]-Q19</f>
        <v>404.95833333333348</v>
      </c>
      <c r="Q19" s="7">
        <f>Table1322242837[[#This Row],[Total]]+Table1322242837[[#This Row],[TAX]]+Table1322242837[[#This Row],[Service charges]]-Table1322242837[[#This Row],[Discount]]</f>
        <v>1236.875</v>
      </c>
    </row>
    <row r="20" spans="1:17" x14ac:dyDescent="0.3">
      <c r="A20" s="50"/>
      <c r="B20" t="s">
        <v>4</v>
      </c>
      <c r="C20" s="6"/>
      <c r="D20" s="6"/>
      <c r="E20" s="6"/>
      <c r="F20" s="6"/>
      <c r="G20" s="6"/>
      <c r="H20" s="6">
        <f>H4*H$15</f>
        <v>1395</v>
      </c>
      <c r="I20" s="6"/>
      <c r="J20" s="6"/>
      <c r="K20" s="6"/>
      <c r="L20" s="51">
        <f>SUM(Table1322242837[[#This Row],[Fresh lime]:[Fish n Chips]])</f>
        <v>1395</v>
      </c>
      <c r="M20" s="51">
        <f t="shared" si="3"/>
        <v>230.875</v>
      </c>
      <c r="N20" s="51">
        <f t="shared" si="4"/>
        <v>153.91666666666666</v>
      </c>
      <c r="O20" s="6">
        <f t="shared" ref="O20:O24" si="5">$C$14/6</f>
        <v>317.91666666666669</v>
      </c>
      <c r="P20" s="27">
        <f>Table1322242837[[#This Row],[Total]]+Table1322242837[[#This Row],[Service charges]]+Table1322242837[[#This Row],[Discount]]-Q20</f>
        <v>404.95833333333348</v>
      </c>
      <c r="Q20" s="7">
        <f>Table1322242837[[#This Row],[Total]]+Table1322242837[[#This Row],[TAX]]+Table1322242837[[#This Row],[Service charges]]-Table1322242837[[#This Row],[Discount]]</f>
        <v>1461.875</v>
      </c>
    </row>
    <row r="21" spans="1:17" x14ac:dyDescent="0.3">
      <c r="A21" s="50"/>
      <c r="B21" t="s">
        <v>126</v>
      </c>
      <c r="C21" s="6"/>
      <c r="D21" s="6">
        <f>D5*D$15</f>
        <v>395</v>
      </c>
      <c r="E21" s="6"/>
      <c r="F21" s="6"/>
      <c r="G21" s="6"/>
      <c r="H21" s="6"/>
      <c r="I21" s="6"/>
      <c r="J21" s="6"/>
      <c r="K21" s="6">
        <f>K5*K$15</f>
        <v>1395</v>
      </c>
      <c r="L21" s="51">
        <f>SUM(Table1322242837[[#This Row],[Fresh lime]:[Fish n Chips]])</f>
        <v>1790</v>
      </c>
      <c r="M21" s="51">
        <f t="shared" si="3"/>
        <v>230.875</v>
      </c>
      <c r="N21" s="51">
        <f t="shared" si="4"/>
        <v>153.91666666666666</v>
      </c>
      <c r="O21" s="6">
        <f t="shared" si="5"/>
        <v>317.91666666666669</v>
      </c>
      <c r="P21" s="27">
        <f>Table1322242837[[#This Row],[Total]]+Table1322242837[[#This Row],[Service charges]]+Table1322242837[[#This Row],[Discount]]-Q21</f>
        <v>404.95833333333371</v>
      </c>
      <c r="Q21" s="7">
        <f>Table1322242837[[#This Row],[Total]]+Table1322242837[[#This Row],[TAX]]+Table1322242837[[#This Row],[Service charges]]-Table1322242837[[#This Row],[Discount]]</f>
        <v>1856.8749999999998</v>
      </c>
    </row>
    <row r="22" spans="1:17" x14ac:dyDescent="0.3">
      <c r="A22" s="50"/>
      <c r="B22" s="29" t="s">
        <v>9</v>
      </c>
      <c r="C22" s="6"/>
      <c r="D22" s="6"/>
      <c r="E22" s="6"/>
      <c r="F22" s="6"/>
      <c r="G22" s="6"/>
      <c r="H22" s="6"/>
      <c r="I22" s="6"/>
      <c r="J22" s="6">
        <f>J6*J$15</f>
        <v>1695</v>
      </c>
      <c r="K22" s="6"/>
      <c r="L22" s="51">
        <f>SUM(Table1322242837[[#This Row],[Fresh lime]:[Fish n Chips]])</f>
        <v>1695</v>
      </c>
      <c r="M22" s="51">
        <f t="shared" si="3"/>
        <v>230.875</v>
      </c>
      <c r="N22" s="51">
        <f t="shared" si="4"/>
        <v>153.91666666666666</v>
      </c>
      <c r="O22" s="6">
        <f t="shared" si="5"/>
        <v>317.91666666666669</v>
      </c>
      <c r="P22" s="27"/>
      <c r="Q22" s="7">
        <f>Table1322242837[[#This Row],[Total]]+Table1322242837[[#This Row],[TAX]]+Table1322242837[[#This Row],[Service charges]]-Table1322242837[[#This Row],[Discount]]</f>
        <v>1761.8749999999998</v>
      </c>
    </row>
    <row r="23" spans="1:17" x14ac:dyDescent="0.3">
      <c r="A23" s="50"/>
      <c r="B23" t="s">
        <v>7</v>
      </c>
      <c r="C23" s="6"/>
      <c r="D23" s="6"/>
      <c r="E23" s="6">
        <f>E7*E$15</f>
        <v>395</v>
      </c>
      <c r="F23" s="6"/>
      <c r="G23" s="6"/>
      <c r="H23" s="6"/>
      <c r="I23" s="6">
        <f>I7*I$15</f>
        <v>1395</v>
      </c>
      <c r="J23" s="6"/>
      <c r="K23" s="6"/>
      <c r="L23" s="51">
        <f>SUM(Table1322242837[[#This Row],[Fresh lime]:[Fish n Chips]])</f>
        <v>1790</v>
      </c>
      <c r="M23" s="51">
        <f t="shared" si="3"/>
        <v>230.875</v>
      </c>
      <c r="N23" s="51">
        <f t="shared" si="4"/>
        <v>153.91666666666666</v>
      </c>
      <c r="O23" s="6">
        <f t="shared" si="5"/>
        <v>317.91666666666669</v>
      </c>
      <c r="P23" s="27">
        <f>Table1322242837[[#This Row],[Total]]+Table1322242837[[#This Row],[Service charges]]+Table1322242837[[#This Row],[Discount]]-Q23</f>
        <v>404.95833333333371</v>
      </c>
      <c r="Q23" s="7">
        <f>Table1322242837[[#This Row],[Total]]+Table1322242837[[#This Row],[TAX]]+Table1322242837[[#This Row],[Service charges]]-Table1322242837[[#This Row],[Discount]]</f>
        <v>1856.8749999999998</v>
      </c>
    </row>
    <row r="24" spans="1:17" x14ac:dyDescent="0.3">
      <c r="A24" s="50"/>
      <c r="B24" t="s">
        <v>216</v>
      </c>
      <c r="C24" s="6"/>
      <c r="D24" s="6"/>
      <c r="E24" s="6"/>
      <c r="F24" s="6"/>
      <c r="G24" s="6">
        <f>G8*G$15</f>
        <v>1395</v>
      </c>
      <c r="H24" s="6"/>
      <c r="I24" s="6"/>
      <c r="J24" s="6"/>
      <c r="K24" s="6"/>
      <c r="L24" s="51">
        <f>SUM(Table1322242837[[#This Row],[Fresh lime]:[Fish n Chips]])</f>
        <v>1395</v>
      </c>
      <c r="M24" s="51">
        <f t="shared" si="3"/>
        <v>230.875</v>
      </c>
      <c r="N24" s="51">
        <f t="shared" si="4"/>
        <v>153.91666666666666</v>
      </c>
      <c r="O24" s="6">
        <f t="shared" si="5"/>
        <v>317.91666666666669</v>
      </c>
      <c r="P24" s="27">
        <f>Table1322242837[[#This Row],[Total]]+Table1322242837[[#This Row],[Service charges]]+Table1322242837[[#This Row],[Discount]]-Q24</f>
        <v>404.95833333333348</v>
      </c>
      <c r="Q24" s="7">
        <f>Table1322242837[[#This Row],[Total]]+Table1322242837[[#This Row],[TAX]]+Table1322242837[[#This Row],[Service charges]]-Table1322242837[[#This Row],[Discount]]</f>
        <v>1461.875</v>
      </c>
    </row>
    <row r="25" spans="1:17" x14ac:dyDescent="0.3">
      <c r="B25" s="2" t="s">
        <v>26</v>
      </c>
      <c r="C25" s="2">
        <f t="shared" ref="C25:L25" si="6">SUM(C19:C24)</f>
        <v>145</v>
      </c>
      <c r="D25" s="2">
        <f t="shared" si="6"/>
        <v>395</v>
      </c>
      <c r="E25" s="2">
        <f t="shared" si="6"/>
        <v>395</v>
      </c>
      <c r="F25" s="2">
        <f t="shared" si="6"/>
        <v>1025</v>
      </c>
      <c r="G25" s="2">
        <f t="shared" si="6"/>
        <v>1395</v>
      </c>
      <c r="H25" s="2">
        <f t="shared" si="6"/>
        <v>1395</v>
      </c>
      <c r="I25" s="2">
        <f t="shared" si="6"/>
        <v>1395</v>
      </c>
      <c r="J25" s="2">
        <f t="shared" si="6"/>
        <v>1695</v>
      </c>
      <c r="K25" s="2">
        <f t="shared" si="6"/>
        <v>1395</v>
      </c>
      <c r="L25" s="7">
        <f t="shared" si="6"/>
        <v>9235</v>
      </c>
      <c r="M25" s="7"/>
      <c r="N25" s="7"/>
      <c r="O25" s="6"/>
      <c r="P25" s="9">
        <f>SUM(P19:P24)</f>
        <v>2024.7916666666679</v>
      </c>
      <c r="Q25" s="9">
        <f>SUM(Q19:Q24)</f>
        <v>9636.25</v>
      </c>
    </row>
  </sheetData>
  <mergeCells count="4">
    <mergeCell ref="C1:E1"/>
    <mergeCell ref="C17:E17"/>
    <mergeCell ref="F1:K1"/>
    <mergeCell ref="F17:K17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5"/>
  <sheetViews>
    <sheetView topLeftCell="A21" workbookViewId="0">
      <selection sqref="A1:V35"/>
    </sheetView>
  </sheetViews>
  <sheetFormatPr defaultRowHeight="14.4" x14ac:dyDescent="0.3"/>
  <cols>
    <col min="2" max="2" width="16.109375" bestFit="1" customWidth="1"/>
    <col min="3" max="3" width="10" bestFit="1" customWidth="1"/>
    <col min="4" max="4" width="7.33203125" customWidth="1"/>
    <col min="5" max="5" width="7.88671875" customWidth="1"/>
    <col min="6" max="6" width="9.33203125" customWidth="1"/>
    <col min="7" max="7" width="11.5546875" hidden="1" customWidth="1"/>
    <col min="8" max="8" width="9.109375" hidden="1" customWidth="1"/>
    <col min="9" max="9" width="12.6640625" customWidth="1"/>
    <col min="10" max="10" width="13.109375" bestFit="1" customWidth="1"/>
    <col min="11" max="11" width="12.5546875" bestFit="1" customWidth="1"/>
    <col min="12" max="12" width="10" bestFit="1" customWidth="1"/>
    <col min="13" max="13" width="13" bestFit="1" customWidth="1"/>
    <col min="14" max="14" width="8.6640625" customWidth="1"/>
    <col min="15" max="15" width="10.88671875" customWidth="1"/>
    <col min="16" max="16" width="8.88671875" hidden="1" customWidth="1"/>
    <col min="17" max="18" width="10" customWidth="1"/>
    <col min="19" max="19" width="9.44140625" bestFit="1" customWidth="1"/>
    <col min="20" max="20" width="10.5546875" bestFit="1" customWidth="1"/>
  </cols>
  <sheetData>
    <row r="1" spans="1:18" x14ac:dyDescent="0.3">
      <c r="C1" s="60" t="s">
        <v>22</v>
      </c>
      <c r="D1" s="60"/>
      <c r="E1" s="60"/>
      <c r="F1" s="28"/>
      <c r="G1" s="28"/>
      <c r="H1" s="28"/>
      <c r="I1" s="61" t="s">
        <v>23</v>
      </c>
      <c r="J1" s="61"/>
      <c r="K1" s="61"/>
      <c r="L1" s="61"/>
      <c r="M1" s="61"/>
      <c r="N1" s="61"/>
      <c r="O1" s="61"/>
      <c r="P1" s="25"/>
    </row>
    <row r="2" spans="1:18" ht="28.8" x14ac:dyDescent="0.3">
      <c r="B2" s="1" t="s">
        <v>25</v>
      </c>
      <c r="C2" s="1" t="s">
        <v>154</v>
      </c>
      <c r="D2" s="1" t="s">
        <v>155</v>
      </c>
      <c r="E2" s="1" t="s">
        <v>156</v>
      </c>
      <c r="F2" s="1" t="s">
        <v>14</v>
      </c>
      <c r="G2" s="1" t="s">
        <v>40</v>
      </c>
      <c r="H2" s="1" t="s">
        <v>41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58</v>
      </c>
      <c r="Q2" s="3" t="s">
        <v>26</v>
      </c>
      <c r="R2" s="3"/>
    </row>
    <row r="3" spans="1:18" x14ac:dyDescent="0.3">
      <c r="A3" s="62" t="s">
        <v>24</v>
      </c>
      <c r="B3" t="s">
        <v>1</v>
      </c>
      <c r="C3" s="6">
        <v>1</v>
      </c>
      <c r="D3" s="6"/>
      <c r="E3" s="6"/>
      <c r="F3" s="6"/>
      <c r="G3" s="6"/>
      <c r="H3" s="6"/>
      <c r="I3" s="6">
        <v>1</v>
      </c>
      <c r="J3" s="6"/>
      <c r="K3" s="6"/>
      <c r="L3" s="6"/>
      <c r="M3" s="6"/>
      <c r="N3" s="6"/>
      <c r="O3" s="6"/>
      <c r="P3" s="6"/>
      <c r="Q3" s="2">
        <f>SUM(Table1212327[[#This Row],[COKE]:[Column4]])</f>
        <v>2</v>
      </c>
      <c r="R3" s="2"/>
    </row>
    <row r="4" spans="1:18" x14ac:dyDescent="0.3">
      <c r="A4" s="62"/>
      <c r="B4" t="s">
        <v>9</v>
      </c>
      <c r="C4" s="6"/>
      <c r="D4" s="6"/>
      <c r="E4" s="6">
        <v>1</v>
      </c>
      <c r="F4" s="6"/>
      <c r="G4" s="6"/>
      <c r="H4" s="6"/>
      <c r="I4" s="6"/>
      <c r="J4" s="30"/>
      <c r="K4" s="6"/>
      <c r="L4" s="6"/>
      <c r="M4" s="6"/>
      <c r="N4" s="6"/>
      <c r="O4" s="6"/>
      <c r="P4" s="6"/>
      <c r="Q4" s="2">
        <f>SUM(Table1212327[[#This Row],[COKE]:[Column4]])</f>
        <v>1</v>
      </c>
      <c r="R4" s="2"/>
    </row>
    <row r="5" spans="1:18" x14ac:dyDescent="0.3">
      <c r="A5" s="62"/>
      <c r="B5" t="s">
        <v>7</v>
      </c>
      <c r="C5" s="6"/>
      <c r="D5" s="6"/>
      <c r="E5" s="6"/>
      <c r="F5" s="6">
        <v>1</v>
      </c>
      <c r="G5" s="6"/>
      <c r="H5" s="6"/>
      <c r="I5" s="6"/>
      <c r="J5" s="6"/>
      <c r="K5" s="6">
        <v>1</v>
      </c>
      <c r="L5" s="6"/>
      <c r="M5" s="6"/>
      <c r="N5" s="6">
        <v>0.5</v>
      </c>
      <c r="O5" s="6"/>
      <c r="P5" s="6"/>
      <c r="Q5" s="2">
        <f>SUM(Table1212327[[#This Row],[COKE]:[Column4]])</f>
        <v>2.5</v>
      </c>
      <c r="R5" s="2"/>
    </row>
    <row r="6" spans="1:18" x14ac:dyDescent="0.3">
      <c r="A6" s="62"/>
      <c r="B6" s="29" t="s">
        <v>81</v>
      </c>
      <c r="C6" s="29"/>
      <c r="D6" s="29"/>
      <c r="E6" s="29"/>
      <c r="F6" s="29">
        <v>1</v>
      </c>
      <c r="G6" s="29"/>
      <c r="H6" s="29"/>
      <c r="I6" s="29"/>
      <c r="J6" s="29"/>
      <c r="K6" s="29"/>
      <c r="L6" s="29">
        <v>1</v>
      </c>
      <c r="M6" s="29"/>
      <c r="N6" s="29">
        <v>0.5</v>
      </c>
      <c r="O6" s="29"/>
      <c r="P6" s="29"/>
      <c r="Q6" s="2">
        <f>SUM(Table1212327[[#This Row],[COKE]:[Column4]])</f>
        <v>2.5</v>
      </c>
      <c r="R6" s="2"/>
    </row>
    <row r="7" spans="1:18" x14ac:dyDescent="0.3">
      <c r="A7" s="62"/>
      <c r="B7" t="s">
        <v>90</v>
      </c>
      <c r="C7" s="6">
        <v>1</v>
      </c>
      <c r="D7" s="6"/>
      <c r="E7" s="6"/>
      <c r="F7" s="6"/>
      <c r="G7" s="6"/>
      <c r="H7" s="6"/>
      <c r="I7" s="6"/>
      <c r="J7" s="6">
        <v>1</v>
      </c>
      <c r="K7" s="6"/>
      <c r="L7" s="6"/>
      <c r="M7" s="6"/>
      <c r="N7" s="6"/>
      <c r="O7" s="6"/>
      <c r="P7" s="6"/>
      <c r="Q7" s="2">
        <f>SUM(Table1212327[[#This Row],[COKE]:[Column4]])</f>
        <v>2</v>
      </c>
      <c r="R7" s="2"/>
    </row>
    <row r="8" spans="1:18" x14ac:dyDescent="0.3">
      <c r="A8" s="62"/>
      <c r="B8" t="s">
        <v>166</v>
      </c>
      <c r="C8" s="6"/>
      <c r="D8" s="6">
        <v>1</v>
      </c>
      <c r="E8" s="6"/>
      <c r="F8" s="6"/>
      <c r="G8" s="6"/>
      <c r="H8" s="6"/>
      <c r="I8" s="6"/>
      <c r="J8" s="30">
        <v>1</v>
      </c>
      <c r="K8" s="6"/>
      <c r="L8" s="6"/>
      <c r="M8" s="6"/>
      <c r="N8" s="6"/>
      <c r="O8" s="6"/>
      <c r="P8" s="6"/>
      <c r="Q8" s="2">
        <f>SUM(Table1212327[[#This Row],[COKE]:[Column4]])</f>
        <v>2</v>
      </c>
      <c r="R8" s="2"/>
    </row>
    <row r="9" spans="1:18" x14ac:dyDescent="0.3">
      <c r="A9" s="62"/>
      <c r="B9" t="s">
        <v>2</v>
      </c>
      <c r="C9" s="6">
        <v>1</v>
      </c>
      <c r="D9" s="6"/>
      <c r="E9" s="6"/>
      <c r="F9" s="6"/>
      <c r="G9" s="6"/>
      <c r="H9" s="6"/>
      <c r="I9" s="6"/>
      <c r="J9" s="6"/>
      <c r="K9" s="6"/>
      <c r="L9" s="6"/>
      <c r="M9" s="6">
        <v>1</v>
      </c>
      <c r="N9" s="6"/>
      <c r="O9" s="6"/>
      <c r="P9" s="6"/>
      <c r="Q9" s="2">
        <f>SUM(Table1212327[[#This Row],[COKE]:[Column4]])</f>
        <v>2</v>
      </c>
      <c r="R9" s="2"/>
    </row>
    <row r="10" spans="1:18" x14ac:dyDescent="0.3">
      <c r="A10" s="62"/>
      <c r="B10" t="s">
        <v>64</v>
      </c>
      <c r="C10" s="6"/>
      <c r="D10" s="6"/>
      <c r="E10" s="6">
        <v>1</v>
      </c>
      <c r="F10" s="6"/>
      <c r="G10" s="6"/>
      <c r="H10" s="6"/>
      <c r="I10" s="6"/>
      <c r="J10" s="6"/>
      <c r="K10" s="6"/>
      <c r="L10" s="6"/>
      <c r="M10" s="6"/>
      <c r="N10" s="6"/>
      <c r="O10" s="6">
        <v>1</v>
      </c>
      <c r="P10" s="6"/>
      <c r="Q10" s="2">
        <f>SUM(Table1212327[[#This Row],[COKE]:[Column4]])</f>
        <v>2</v>
      </c>
      <c r="R10" s="2"/>
    </row>
    <row r="11" spans="1:18" x14ac:dyDescent="0.3">
      <c r="A11" s="62"/>
      <c r="B11" t="s">
        <v>167</v>
      </c>
      <c r="C11" s="6"/>
      <c r="D11" s="6">
        <v>1</v>
      </c>
      <c r="E11" s="6"/>
      <c r="F11" s="6"/>
      <c r="G11" s="6"/>
      <c r="H11" s="6"/>
      <c r="I11" s="6"/>
      <c r="J11" s="6">
        <v>1</v>
      </c>
      <c r="K11" s="29"/>
      <c r="L11" s="6"/>
      <c r="M11" s="6"/>
      <c r="N11" s="6"/>
      <c r="O11" s="6"/>
      <c r="P11" s="6"/>
      <c r="Q11" s="2">
        <f>SUM(Table1212327[[#This Row],[COKE]:[Column4]])</f>
        <v>2</v>
      </c>
      <c r="R11" s="2"/>
    </row>
    <row r="12" spans="1:18" x14ac:dyDescent="0.3">
      <c r="A12" s="62"/>
      <c r="C12" s="6"/>
      <c r="D12" s="6"/>
      <c r="E12" s="6"/>
      <c r="F12" s="6"/>
      <c r="G12" s="6"/>
      <c r="H12" s="6"/>
      <c r="I12" s="6"/>
      <c r="J12" s="6"/>
      <c r="K12" s="29"/>
      <c r="L12" s="6"/>
      <c r="M12" s="6"/>
      <c r="N12" s="6"/>
      <c r="O12" s="6"/>
      <c r="P12" s="31"/>
      <c r="Q12" s="32">
        <f>SUM(Table1212327[[#This Row],[COKE]:[Column4]])</f>
        <v>0</v>
      </c>
      <c r="R12" s="2"/>
    </row>
    <row r="13" spans="1:18" x14ac:dyDescent="0.3">
      <c r="A13" s="6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>SUM(Table1212327[[#This Row],[COKE]:[Column4]])</f>
        <v>0</v>
      </c>
      <c r="R13" s="2"/>
    </row>
    <row r="14" spans="1:18" x14ac:dyDescent="0.3">
      <c r="B14" s="2" t="s">
        <v>26</v>
      </c>
      <c r="C14" s="2">
        <f t="shared" ref="C14:P14" si="0">SUM(C3:C13)</f>
        <v>3</v>
      </c>
      <c r="D14" s="2">
        <f t="shared" si="0"/>
        <v>2</v>
      </c>
      <c r="E14" s="2">
        <f t="shared" si="0"/>
        <v>2</v>
      </c>
      <c r="F14" s="2">
        <f t="shared" si="0"/>
        <v>2</v>
      </c>
      <c r="G14" s="2">
        <f t="shared" si="0"/>
        <v>0</v>
      </c>
      <c r="H14" s="2">
        <f t="shared" si="0"/>
        <v>0</v>
      </c>
      <c r="I14" s="2">
        <f t="shared" si="0"/>
        <v>1</v>
      </c>
      <c r="J14" s="2">
        <f t="shared" si="0"/>
        <v>3</v>
      </c>
      <c r="K14" s="2">
        <f t="shared" si="0"/>
        <v>1</v>
      </c>
      <c r="L14" s="2">
        <f t="shared" si="0"/>
        <v>1</v>
      </c>
      <c r="M14" s="2">
        <f t="shared" si="0"/>
        <v>1</v>
      </c>
      <c r="N14" s="2">
        <f t="shared" si="0"/>
        <v>1</v>
      </c>
      <c r="O14" s="2">
        <f t="shared" si="0"/>
        <v>1</v>
      </c>
      <c r="P14" s="2">
        <f t="shared" si="0"/>
        <v>0</v>
      </c>
      <c r="Q14" s="2">
        <f>SUM(Table1212327[[#This Row],[COKE]:[Column4]])</f>
        <v>18</v>
      </c>
      <c r="R14" s="2"/>
    </row>
    <row r="16" spans="1:18" x14ac:dyDescent="0.3">
      <c r="B16" s="10" t="s">
        <v>29</v>
      </c>
      <c r="C16" s="5">
        <v>0.15</v>
      </c>
    </row>
    <row r="17" spans="1:22" x14ac:dyDescent="0.3">
      <c r="B17" s="10" t="s">
        <v>30</v>
      </c>
      <c r="C17" s="11">
        <v>150</v>
      </c>
      <c r="D17" s="11">
        <v>150</v>
      </c>
      <c r="E17" s="11">
        <v>445</v>
      </c>
      <c r="F17" s="11">
        <v>330</v>
      </c>
      <c r="G17" s="11"/>
      <c r="H17" s="11"/>
      <c r="I17" s="11">
        <v>895</v>
      </c>
      <c r="J17" s="11">
        <v>795</v>
      </c>
      <c r="K17" s="11">
        <v>1099</v>
      </c>
      <c r="L17" s="11">
        <v>1050</v>
      </c>
      <c r="M17" s="11">
        <v>795</v>
      </c>
      <c r="N17" s="11">
        <v>1099</v>
      </c>
      <c r="O17" s="11">
        <v>695</v>
      </c>
      <c r="P17" s="11"/>
      <c r="Q17" s="11">
        <f>SUM(C17:P17)</f>
        <v>7503</v>
      </c>
      <c r="R17" s="11"/>
    </row>
    <row r="18" spans="1:22" x14ac:dyDescent="0.3">
      <c r="B18" s="10" t="s">
        <v>31</v>
      </c>
      <c r="C18">
        <f>C17*$C$16</f>
        <v>22.5</v>
      </c>
      <c r="D18">
        <f t="shared" ref="D18:P18" si="1">D17*$C$16</f>
        <v>22.5</v>
      </c>
      <c r="E18">
        <f t="shared" si="1"/>
        <v>66.75</v>
      </c>
      <c r="F18">
        <f t="shared" si="1"/>
        <v>49.5</v>
      </c>
      <c r="I18">
        <f t="shared" si="1"/>
        <v>134.25</v>
      </c>
      <c r="J18">
        <f t="shared" si="1"/>
        <v>119.25</v>
      </c>
      <c r="K18">
        <f t="shared" si="1"/>
        <v>164.85</v>
      </c>
      <c r="L18">
        <f t="shared" si="1"/>
        <v>157.5</v>
      </c>
      <c r="M18">
        <f t="shared" si="1"/>
        <v>119.25</v>
      </c>
      <c r="N18">
        <f t="shared" si="1"/>
        <v>164.85</v>
      </c>
      <c r="O18">
        <f t="shared" si="1"/>
        <v>104.25</v>
      </c>
      <c r="P18">
        <f t="shared" si="1"/>
        <v>0</v>
      </c>
      <c r="Q18" s="11">
        <f t="shared" ref="Q18" si="2">SUM(C18:P18)</f>
        <v>1125.45</v>
      </c>
      <c r="R18" s="11"/>
    </row>
    <row r="19" spans="1:22" x14ac:dyDescent="0.3">
      <c r="B19" s="10" t="s">
        <v>94</v>
      </c>
      <c r="C19" s="6">
        <v>1490</v>
      </c>
    </row>
    <row r="20" spans="1:22" x14ac:dyDescent="0.3">
      <c r="B20" s="10" t="s">
        <v>124</v>
      </c>
      <c r="C20" s="12">
        <f>C17+C18</f>
        <v>172.5</v>
      </c>
      <c r="D20" s="12">
        <f t="shared" ref="D20:O20" si="3">D17+D18</f>
        <v>172.5</v>
      </c>
      <c r="E20" s="12">
        <f t="shared" si="3"/>
        <v>511.75</v>
      </c>
      <c r="F20" s="12">
        <f t="shared" si="3"/>
        <v>379.5</v>
      </c>
      <c r="G20" s="12"/>
      <c r="H20" s="12"/>
      <c r="I20" s="12">
        <f t="shared" si="3"/>
        <v>1029.25</v>
      </c>
      <c r="J20" s="12">
        <f t="shared" si="3"/>
        <v>914.25</v>
      </c>
      <c r="K20" s="12">
        <f t="shared" si="3"/>
        <v>1263.8499999999999</v>
      </c>
      <c r="L20" s="12">
        <f t="shared" si="3"/>
        <v>1207.5</v>
      </c>
      <c r="M20" s="12">
        <f t="shared" si="3"/>
        <v>914.25</v>
      </c>
      <c r="N20" s="12">
        <f t="shared" si="3"/>
        <v>1263.8499999999999</v>
      </c>
      <c r="O20" s="12">
        <f t="shared" si="3"/>
        <v>799.25</v>
      </c>
      <c r="P20" s="12" t="e">
        <f>P17+P18-#REF!</f>
        <v>#REF!</v>
      </c>
      <c r="Q20" s="11"/>
      <c r="R20" s="11"/>
    </row>
    <row r="21" spans="1:22" x14ac:dyDescent="0.3">
      <c r="B21" s="10" t="s">
        <v>138</v>
      </c>
    </row>
    <row r="22" spans="1:22" x14ac:dyDescent="0.3">
      <c r="C22" s="60" t="s">
        <v>22</v>
      </c>
      <c r="D22" s="60"/>
      <c r="E22" s="60"/>
      <c r="F22" s="28"/>
      <c r="G22" s="28"/>
      <c r="H22" s="28"/>
      <c r="I22" s="61" t="s">
        <v>23</v>
      </c>
      <c r="J22" s="61"/>
      <c r="K22" s="61"/>
      <c r="L22" s="61"/>
      <c r="M22" s="61"/>
      <c r="N22" s="61"/>
      <c r="O22" s="61"/>
      <c r="P22" s="25"/>
    </row>
    <row r="23" spans="1:22" ht="43.2" x14ac:dyDescent="0.3">
      <c r="B23" s="1" t="s">
        <v>25</v>
      </c>
      <c r="C23" s="1" t="s">
        <v>154</v>
      </c>
      <c r="D23" s="1" t="s">
        <v>155</v>
      </c>
      <c r="E23" s="1" t="s">
        <v>156</v>
      </c>
      <c r="F23" s="1" t="s">
        <v>14</v>
      </c>
      <c r="G23" s="1" t="s">
        <v>40</v>
      </c>
      <c r="H23" s="1" t="s">
        <v>41</v>
      </c>
      <c r="I23" s="1" t="s">
        <v>157</v>
      </c>
      <c r="J23" s="1" t="s">
        <v>158</v>
      </c>
      <c r="K23" s="1" t="s">
        <v>159</v>
      </c>
      <c r="L23" s="1" t="s">
        <v>160</v>
      </c>
      <c r="M23" s="1" t="s">
        <v>161</v>
      </c>
      <c r="N23" s="1" t="s">
        <v>162</v>
      </c>
      <c r="O23" s="1" t="s">
        <v>163</v>
      </c>
      <c r="P23" s="1" t="s">
        <v>58</v>
      </c>
      <c r="Q23" s="3" t="s">
        <v>26</v>
      </c>
      <c r="R23" s="3" t="s">
        <v>138</v>
      </c>
      <c r="S23" s="1" t="s">
        <v>165</v>
      </c>
      <c r="T23" s="8" t="s">
        <v>34</v>
      </c>
      <c r="U23" s="1" t="s">
        <v>94</v>
      </c>
      <c r="V23" s="1" t="s">
        <v>164</v>
      </c>
    </row>
    <row r="24" spans="1:22" x14ac:dyDescent="0.3">
      <c r="A24" s="62" t="s">
        <v>24</v>
      </c>
      <c r="B24" t="s">
        <v>1</v>
      </c>
      <c r="C24" s="6">
        <f t="shared" ref="C24:P24" si="4">C3*C$20</f>
        <v>172.5</v>
      </c>
      <c r="D24" s="6">
        <f t="shared" ref="D24:O24" si="5">D3*D$20</f>
        <v>0</v>
      </c>
      <c r="E24" s="6">
        <f t="shared" si="5"/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1029.25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 t="e">
        <f t="shared" si="4"/>
        <v>#REF!</v>
      </c>
      <c r="Q24" s="7">
        <f>SUM(Table13222428[[#This Row],[COKE]:[GRLL SNDWCH]])</f>
        <v>1201.75</v>
      </c>
      <c r="R24" s="7"/>
      <c r="S24" s="6">
        <f>$Q$27/8</f>
        <v>277.36562500000002</v>
      </c>
      <c r="T24" s="27">
        <f>Table13222428[[#This Row],[Total]]+Table13222428[[#This Row],[Service charges]]+Table13222428[[#This Row],[Mehak Sharing Total]]-U24</f>
        <v>1292.8656249999999</v>
      </c>
      <c r="U24">
        <f>$C$19/8</f>
        <v>186.25</v>
      </c>
    </row>
    <row r="25" spans="1:22" x14ac:dyDescent="0.3">
      <c r="A25" s="62"/>
      <c r="B25" t="s">
        <v>9</v>
      </c>
      <c r="C25" s="6">
        <f t="shared" ref="C25:O25" si="6">C4*C$20</f>
        <v>0</v>
      </c>
      <c r="D25" s="6">
        <f t="shared" si="6"/>
        <v>0</v>
      </c>
      <c r="E25" s="6">
        <f t="shared" si="6"/>
        <v>511.75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0</v>
      </c>
      <c r="J25" s="6">
        <f t="shared" si="6"/>
        <v>0</v>
      </c>
      <c r="K25" s="6">
        <f t="shared" si="6"/>
        <v>0</v>
      </c>
      <c r="L25" s="6">
        <f t="shared" si="6"/>
        <v>0</v>
      </c>
      <c r="M25" s="6">
        <f t="shared" si="6"/>
        <v>0</v>
      </c>
      <c r="N25" s="6">
        <f t="shared" si="6"/>
        <v>0</v>
      </c>
      <c r="O25" s="6">
        <f t="shared" si="6"/>
        <v>0</v>
      </c>
      <c r="P25" s="6"/>
      <c r="Q25" s="7">
        <f>SUM(Table13222428[[#This Row],[COKE]:[GRLL SNDWCH]])</f>
        <v>511.75</v>
      </c>
      <c r="R25" s="7"/>
      <c r="S25" s="6">
        <f t="shared" ref="S25:S32" si="7">$Q$27/8</f>
        <v>277.36562500000002</v>
      </c>
      <c r="T25" s="27">
        <f>Table13222428[[#This Row],[Total]]+Table13222428[[#This Row],[Service charges]]+Table13222428[[#This Row],[Mehak Sharing Total]]-U25</f>
        <v>602.86562500000002</v>
      </c>
      <c r="U25">
        <f t="shared" ref="U25:U32" si="8">$C$19/8</f>
        <v>186.25</v>
      </c>
    </row>
    <row r="26" spans="1:22" x14ac:dyDescent="0.3">
      <c r="A26" s="62"/>
      <c r="B26" t="s">
        <v>7</v>
      </c>
      <c r="C26" s="6">
        <f t="shared" ref="C26:O26" si="9">C5*C$20</f>
        <v>0</v>
      </c>
      <c r="D26" s="6">
        <f t="shared" si="9"/>
        <v>0</v>
      </c>
      <c r="E26" s="6">
        <f t="shared" si="9"/>
        <v>0</v>
      </c>
      <c r="F26" s="6">
        <f t="shared" si="9"/>
        <v>379.5</v>
      </c>
      <c r="G26" s="6">
        <f t="shared" si="9"/>
        <v>0</v>
      </c>
      <c r="H26" s="6">
        <f t="shared" si="9"/>
        <v>0</v>
      </c>
      <c r="I26" s="6">
        <f t="shared" si="9"/>
        <v>0</v>
      </c>
      <c r="J26" s="6">
        <f t="shared" si="9"/>
        <v>0</v>
      </c>
      <c r="K26" s="6">
        <f t="shared" si="9"/>
        <v>1263.8499999999999</v>
      </c>
      <c r="L26" s="6">
        <f t="shared" si="9"/>
        <v>0</v>
      </c>
      <c r="M26" s="6">
        <f t="shared" si="9"/>
        <v>0</v>
      </c>
      <c r="N26" s="6">
        <f t="shared" si="9"/>
        <v>631.92499999999995</v>
      </c>
      <c r="O26" s="6">
        <f t="shared" si="9"/>
        <v>0</v>
      </c>
      <c r="P26" s="6" t="e">
        <f>P5*P$20</f>
        <v>#REF!</v>
      </c>
      <c r="Q26" s="7">
        <f>SUM(Table13222428[[#This Row],[COKE]:[GRLL SNDWCH]])</f>
        <v>2275.2749999999996</v>
      </c>
      <c r="R26" s="7"/>
      <c r="S26" s="6">
        <f t="shared" si="7"/>
        <v>277.36562500000002</v>
      </c>
      <c r="T26" s="27">
        <f>Table13222428[[#This Row],[Total]]+Table13222428[[#This Row],[Service charges]]+Table13222428[[#This Row],[Mehak Sharing Total]]-U26</f>
        <v>2366.3906249999995</v>
      </c>
      <c r="U26">
        <f t="shared" si="8"/>
        <v>186.25</v>
      </c>
    </row>
    <row r="27" spans="1:22" x14ac:dyDescent="0.3">
      <c r="A27" s="62"/>
      <c r="B27" t="s">
        <v>81</v>
      </c>
      <c r="C27" s="6">
        <f t="shared" ref="C27:O27" si="10">C6*C$20</f>
        <v>0</v>
      </c>
      <c r="D27" s="6">
        <f t="shared" si="10"/>
        <v>0</v>
      </c>
      <c r="E27" s="6">
        <f t="shared" si="10"/>
        <v>0</v>
      </c>
      <c r="F27" s="6">
        <f t="shared" si="10"/>
        <v>379.5</v>
      </c>
      <c r="G27" s="6">
        <f t="shared" si="10"/>
        <v>0</v>
      </c>
      <c r="H27" s="6">
        <f t="shared" si="10"/>
        <v>0</v>
      </c>
      <c r="I27" s="6">
        <f t="shared" si="10"/>
        <v>0</v>
      </c>
      <c r="J27" s="6">
        <f t="shared" si="10"/>
        <v>0</v>
      </c>
      <c r="K27" s="6">
        <f t="shared" si="10"/>
        <v>0</v>
      </c>
      <c r="L27" s="6">
        <f t="shared" si="10"/>
        <v>1207.5</v>
      </c>
      <c r="M27" s="6">
        <f t="shared" si="10"/>
        <v>0</v>
      </c>
      <c r="N27" s="6">
        <f t="shared" si="10"/>
        <v>631.92499999999995</v>
      </c>
      <c r="O27" s="6">
        <f t="shared" si="10"/>
        <v>0</v>
      </c>
      <c r="P27" s="6"/>
      <c r="Q27" s="7">
        <f>SUM(Table13222428[[#This Row],[COKE]:[GRLL SNDWCH]])</f>
        <v>2218.9250000000002</v>
      </c>
      <c r="R27" s="7"/>
      <c r="S27" s="6"/>
      <c r="T27" s="27"/>
    </row>
    <row r="28" spans="1:22" x14ac:dyDescent="0.3">
      <c r="A28" s="62"/>
      <c r="B28" t="s">
        <v>90</v>
      </c>
      <c r="C28" s="6">
        <f t="shared" ref="C28:O28" si="11">C7*C$20</f>
        <v>172.5</v>
      </c>
      <c r="D28" s="6">
        <f t="shared" si="11"/>
        <v>0</v>
      </c>
      <c r="E28" s="6">
        <f t="shared" si="11"/>
        <v>0</v>
      </c>
      <c r="F28" s="6">
        <f t="shared" si="11"/>
        <v>0</v>
      </c>
      <c r="G28" s="6">
        <f t="shared" si="11"/>
        <v>0</v>
      </c>
      <c r="H28" s="6">
        <f t="shared" si="11"/>
        <v>0</v>
      </c>
      <c r="I28" s="6">
        <f t="shared" si="11"/>
        <v>0</v>
      </c>
      <c r="J28" s="6">
        <f t="shared" si="11"/>
        <v>914.25</v>
      </c>
      <c r="K28" s="6">
        <f t="shared" si="11"/>
        <v>0</v>
      </c>
      <c r="L28" s="6">
        <f t="shared" si="11"/>
        <v>0</v>
      </c>
      <c r="M28" s="6">
        <f t="shared" si="11"/>
        <v>0</v>
      </c>
      <c r="N28" s="6">
        <f t="shared" si="11"/>
        <v>0</v>
      </c>
      <c r="O28" s="6">
        <f t="shared" si="11"/>
        <v>0</v>
      </c>
      <c r="P28" s="6"/>
      <c r="Q28" s="7">
        <f>SUM(Table13222428[[#This Row],[COKE]:[GRLL SNDWCH]])</f>
        <v>1086.75</v>
      </c>
      <c r="R28" s="7"/>
      <c r="S28" s="6">
        <f t="shared" si="7"/>
        <v>277.36562500000002</v>
      </c>
      <c r="T28" s="27">
        <f>Table13222428[[#This Row],[Total]]+Table13222428[[#This Row],[Service charges]]+Table13222428[[#This Row],[Mehak Sharing Total]]-U28</f>
        <v>1177.8656249999999</v>
      </c>
      <c r="U28">
        <f t="shared" si="8"/>
        <v>186.25</v>
      </c>
    </row>
    <row r="29" spans="1:22" x14ac:dyDescent="0.3">
      <c r="A29" s="62"/>
      <c r="B29" t="s">
        <v>166</v>
      </c>
      <c r="C29" s="6">
        <f t="shared" ref="C29:O29" si="12">C8*C$20</f>
        <v>0</v>
      </c>
      <c r="D29" s="6">
        <f t="shared" si="12"/>
        <v>172.5</v>
      </c>
      <c r="E29" s="6">
        <f t="shared" si="12"/>
        <v>0</v>
      </c>
      <c r="F29" s="6">
        <f t="shared" si="12"/>
        <v>0</v>
      </c>
      <c r="G29" s="6">
        <f t="shared" si="12"/>
        <v>0</v>
      </c>
      <c r="H29" s="6">
        <f t="shared" si="12"/>
        <v>0</v>
      </c>
      <c r="I29" s="6">
        <f t="shared" si="12"/>
        <v>0</v>
      </c>
      <c r="J29" s="6">
        <f t="shared" si="12"/>
        <v>914.25</v>
      </c>
      <c r="K29" s="6">
        <f t="shared" si="12"/>
        <v>0</v>
      </c>
      <c r="L29" s="6">
        <f t="shared" si="12"/>
        <v>0</v>
      </c>
      <c r="M29" s="6">
        <f t="shared" si="12"/>
        <v>0</v>
      </c>
      <c r="N29" s="6">
        <f t="shared" si="12"/>
        <v>0</v>
      </c>
      <c r="O29" s="6">
        <f t="shared" si="12"/>
        <v>0</v>
      </c>
      <c r="P29" s="29" t="e">
        <f>P8*P$20</f>
        <v>#REF!</v>
      </c>
      <c r="Q29" s="7">
        <f>SUM(Table13222428[[#This Row],[COKE]:[GRLL SNDWCH]])</f>
        <v>1086.75</v>
      </c>
      <c r="R29" s="7"/>
      <c r="S29" s="6">
        <f t="shared" si="7"/>
        <v>277.36562500000002</v>
      </c>
      <c r="T29" s="27">
        <f>Table13222428[[#This Row],[Total]]+Table13222428[[#This Row],[Service charges]]+Table13222428[[#This Row],[Mehak Sharing Total]]-U29</f>
        <v>1177.8656249999999</v>
      </c>
      <c r="U29">
        <f>$C$19/8</f>
        <v>186.25</v>
      </c>
    </row>
    <row r="30" spans="1:22" x14ac:dyDescent="0.3">
      <c r="A30" s="62"/>
      <c r="B30" t="s">
        <v>2</v>
      </c>
      <c r="C30" s="6">
        <f t="shared" ref="C30:O30" si="13">C9*C$20</f>
        <v>172.5</v>
      </c>
      <c r="D30" s="6">
        <f t="shared" si="13"/>
        <v>0</v>
      </c>
      <c r="E30" s="6">
        <f t="shared" si="13"/>
        <v>0</v>
      </c>
      <c r="F30" s="6">
        <f t="shared" si="13"/>
        <v>0</v>
      </c>
      <c r="G30" s="6">
        <f t="shared" si="13"/>
        <v>0</v>
      </c>
      <c r="H30" s="6">
        <f t="shared" si="13"/>
        <v>0</v>
      </c>
      <c r="I30" s="6">
        <f t="shared" si="13"/>
        <v>0</v>
      </c>
      <c r="J30" s="6">
        <f t="shared" si="13"/>
        <v>0</v>
      </c>
      <c r="K30" s="6">
        <f t="shared" si="13"/>
        <v>0</v>
      </c>
      <c r="L30" s="6">
        <f t="shared" si="13"/>
        <v>0</v>
      </c>
      <c r="M30" s="6">
        <f t="shared" si="13"/>
        <v>914.25</v>
      </c>
      <c r="N30" s="6">
        <f t="shared" si="13"/>
        <v>0</v>
      </c>
      <c r="O30" s="6">
        <f t="shared" si="13"/>
        <v>0</v>
      </c>
      <c r="P30" s="6"/>
      <c r="Q30" s="7">
        <f>SUM(Table13222428[[#This Row],[COKE]:[GRLL SNDWCH]])</f>
        <v>1086.75</v>
      </c>
      <c r="R30" s="7"/>
      <c r="S30" s="6">
        <f t="shared" si="7"/>
        <v>277.36562500000002</v>
      </c>
      <c r="T30" s="27">
        <f>Table13222428[[#This Row],[Total]]+Table13222428[[#This Row],[Service charges]]+Table13222428[[#This Row],[Mehak Sharing Total]]-U30</f>
        <v>1177.8656249999999</v>
      </c>
      <c r="U30">
        <f t="shared" si="8"/>
        <v>186.25</v>
      </c>
    </row>
    <row r="31" spans="1:22" x14ac:dyDescent="0.3">
      <c r="A31" s="62"/>
      <c r="B31" t="s">
        <v>64</v>
      </c>
      <c r="C31" s="6">
        <f t="shared" ref="C31:O31" si="14">C10*C$20</f>
        <v>0</v>
      </c>
      <c r="D31" s="6">
        <f t="shared" si="14"/>
        <v>0</v>
      </c>
      <c r="E31" s="6">
        <f t="shared" si="14"/>
        <v>511.75</v>
      </c>
      <c r="F31" s="6">
        <f t="shared" si="14"/>
        <v>0</v>
      </c>
      <c r="G31" s="6">
        <f t="shared" si="14"/>
        <v>0</v>
      </c>
      <c r="H31" s="6">
        <f t="shared" si="14"/>
        <v>0</v>
      </c>
      <c r="I31" s="6">
        <f t="shared" si="14"/>
        <v>0</v>
      </c>
      <c r="J31" s="6">
        <f t="shared" si="14"/>
        <v>0</v>
      </c>
      <c r="K31" s="6">
        <f t="shared" si="14"/>
        <v>0</v>
      </c>
      <c r="L31" s="6">
        <f t="shared" si="14"/>
        <v>0</v>
      </c>
      <c r="M31" s="6">
        <f t="shared" si="14"/>
        <v>0</v>
      </c>
      <c r="N31" s="6">
        <f t="shared" si="14"/>
        <v>0</v>
      </c>
      <c r="O31" s="6">
        <f t="shared" si="14"/>
        <v>799.25</v>
      </c>
      <c r="P31" s="6" t="e">
        <f>P10*P$20</f>
        <v>#REF!</v>
      </c>
      <c r="Q31" s="7">
        <f>SUM(Table13222428[[#This Row],[COKE]:[GRLL SNDWCH]])</f>
        <v>1311</v>
      </c>
      <c r="R31" s="7"/>
      <c r="S31" s="6">
        <f t="shared" si="7"/>
        <v>277.36562500000002</v>
      </c>
      <c r="T31" s="27">
        <f>Table13222428[[#This Row],[Total]]+Table13222428[[#This Row],[Service charges]]+Table13222428[[#This Row],[Mehak Sharing Total]]-U31</f>
        <v>1402.1156249999999</v>
      </c>
      <c r="U31">
        <f t="shared" si="8"/>
        <v>186.25</v>
      </c>
    </row>
    <row r="32" spans="1:22" x14ac:dyDescent="0.3">
      <c r="A32" s="62"/>
      <c r="B32" t="s">
        <v>167</v>
      </c>
      <c r="C32" s="6">
        <f t="shared" ref="C32:O32" si="15">C11*C$20</f>
        <v>0</v>
      </c>
      <c r="D32" s="6">
        <f t="shared" si="15"/>
        <v>172.5</v>
      </c>
      <c r="E32" s="6">
        <f t="shared" si="15"/>
        <v>0</v>
      </c>
      <c r="F32" s="6">
        <f t="shared" si="15"/>
        <v>0</v>
      </c>
      <c r="G32" s="6">
        <f t="shared" si="15"/>
        <v>0</v>
      </c>
      <c r="H32" s="6">
        <f t="shared" si="15"/>
        <v>0</v>
      </c>
      <c r="I32" s="6">
        <f t="shared" si="15"/>
        <v>0</v>
      </c>
      <c r="J32" s="6">
        <f t="shared" si="15"/>
        <v>914.25</v>
      </c>
      <c r="K32" s="6">
        <f t="shared" si="15"/>
        <v>0</v>
      </c>
      <c r="L32" s="6">
        <f t="shared" si="15"/>
        <v>0</v>
      </c>
      <c r="M32" s="6">
        <f t="shared" si="15"/>
        <v>0</v>
      </c>
      <c r="N32" s="6">
        <f t="shared" si="15"/>
        <v>0</v>
      </c>
      <c r="O32" s="6">
        <f t="shared" si="15"/>
        <v>0</v>
      </c>
      <c r="P32" s="6"/>
      <c r="Q32" s="7">
        <f>SUM(Table13222428[[#This Row],[COKE]:[GRLL SNDWCH]])</f>
        <v>1086.75</v>
      </c>
      <c r="R32" s="7"/>
      <c r="S32" s="6">
        <f t="shared" si="7"/>
        <v>277.36562500000002</v>
      </c>
      <c r="T32" s="27">
        <f>Table13222428[[#This Row],[Total]]+Table13222428[[#This Row],[Service charges]]+Table13222428[[#This Row],[Mehak Sharing Total]]-U32</f>
        <v>1177.8656249999999</v>
      </c>
      <c r="U32">
        <f t="shared" si="8"/>
        <v>186.25</v>
      </c>
    </row>
    <row r="33" spans="1:22" x14ac:dyDescent="0.3">
      <c r="A33" s="6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6"/>
      <c r="T33" s="7"/>
      <c r="V33" s="31"/>
    </row>
    <row r="34" spans="1:22" x14ac:dyDescent="0.3">
      <c r="A34" s="6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6"/>
      <c r="T34" s="7"/>
    </row>
    <row r="35" spans="1:22" x14ac:dyDescent="0.3">
      <c r="B35" s="2" t="s">
        <v>26</v>
      </c>
      <c r="C35" s="2">
        <f>SUM(C24:C34)</f>
        <v>517.5</v>
      </c>
      <c r="D35" s="2">
        <f t="shared" ref="D35:P35" si="16">SUM(D24:D34)</f>
        <v>345</v>
      </c>
      <c r="E35" s="2">
        <f t="shared" si="16"/>
        <v>1023.5</v>
      </c>
      <c r="F35" s="2">
        <f t="shared" si="16"/>
        <v>759</v>
      </c>
      <c r="G35" s="2"/>
      <c r="H35" s="2"/>
      <c r="I35" s="2">
        <f t="shared" si="16"/>
        <v>1029.25</v>
      </c>
      <c r="J35" s="2">
        <f t="shared" si="16"/>
        <v>2742.75</v>
      </c>
      <c r="K35" s="2">
        <f t="shared" si="16"/>
        <v>1263.8499999999999</v>
      </c>
      <c r="L35" s="2">
        <f t="shared" si="16"/>
        <v>1207.5</v>
      </c>
      <c r="M35" s="2">
        <f t="shared" si="16"/>
        <v>914.25</v>
      </c>
      <c r="N35" s="2">
        <f t="shared" si="16"/>
        <v>1263.8499999999999</v>
      </c>
      <c r="O35" s="2">
        <f t="shared" si="16"/>
        <v>799.25</v>
      </c>
      <c r="P35" s="2" t="e">
        <f t="shared" si="16"/>
        <v>#REF!</v>
      </c>
      <c r="Q35" s="7">
        <f>SUM(Table13222428[[#This Row],[COKE]:[GRLL SNDWCH]])</f>
        <v>11865.7</v>
      </c>
      <c r="R35" s="7"/>
      <c r="S35" s="6"/>
      <c r="T35" s="9">
        <f t="shared" ref="T35:U35" si="17">SUM(T24:T34)</f>
        <v>10375.700000000001</v>
      </c>
      <c r="U35" s="9">
        <f t="shared" si="17"/>
        <v>1490</v>
      </c>
    </row>
  </sheetData>
  <mergeCells count="6">
    <mergeCell ref="A24:A34"/>
    <mergeCell ref="C1:E1"/>
    <mergeCell ref="I1:O1"/>
    <mergeCell ref="A3:A13"/>
    <mergeCell ref="C22:E22"/>
    <mergeCell ref="I22:O22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ITCNASIA</vt:lpstr>
      <vt:lpstr>Florida Hammad</vt:lpstr>
      <vt:lpstr>Sheet1</vt:lpstr>
      <vt:lpstr>Florida</vt:lpstr>
      <vt:lpstr>Shoohira farewell</vt:lpstr>
      <vt:lpstr>lanzhou</vt:lpstr>
      <vt:lpstr>Mez 1feb</vt:lpstr>
      <vt:lpstr>Roasters</vt:lpstr>
      <vt:lpstr>Mehak Farewell</vt:lpstr>
      <vt:lpstr>Hamza Farewell</vt:lpstr>
      <vt:lpstr>Nasr</vt:lpstr>
      <vt:lpstr>waseem</vt:lpstr>
      <vt:lpstr>Wild Wings</vt:lpstr>
      <vt:lpstr>Ajwad BDay</vt:lpstr>
      <vt:lpstr>Sonias Farewell</vt:lpstr>
      <vt:lpstr>Ayesha Return</vt:lpstr>
      <vt:lpstr>Chapli Kebab</vt:lpstr>
      <vt:lpstr>Sheet2</vt:lpstr>
      <vt:lpstr>Sitara Farewell</vt:lpstr>
      <vt:lpstr>Nandos</vt:lpstr>
      <vt:lpstr>wrap lab</vt:lpstr>
      <vt:lpstr>Crema</vt:lpstr>
      <vt:lpstr>Gloria Iftaar</vt:lpstr>
      <vt:lpstr>Sheet3</vt:lpstr>
      <vt:lpstr>Sheet4</vt:lpstr>
      <vt:lpstr>Murree iftaar</vt:lpstr>
      <vt:lpstr>lunch sara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 Umar Khan</dc:creator>
  <cp:lastModifiedBy>Muhammad Huzaifa</cp:lastModifiedBy>
  <dcterms:created xsi:type="dcterms:W3CDTF">2021-07-17T04:35:26Z</dcterms:created>
  <dcterms:modified xsi:type="dcterms:W3CDTF">2023-05-01T11:27:41Z</dcterms:modified>
</cp:coreProperties>
</file>