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mot\Downloads\"/>
    </mc:Choice>
  </mc:AlternateContent>
  <xr:revisionPtr revIDLastSave="0" documentId="8_{A03FB0FC-B66F-4F84-81E4-69C104F97C9C}" xr6:coauthVersionLast="47" xr6:coauthVersionMax="47" xr10:uidLastSave="{00000000-0000-0000-0000-000000000000}"/>
  <bookViews>
    <workbookView xWindow="-120" yWindow="-120" windowWidth="29040" windowHeight="15990" tabRatio="821" activeTab="1" xr2:uid="{9768D24D-6084-4CED-BE52-A19B9ECCD230}"/>
  </bookViews>
  <sheets>
    <sheet name="Index" sheetId="1" r:id="rId1"/>
    <sheet name="Dashboard" sheetId="2" r:id="rId2"/>
    <sheet name="DCF" sheetId="6" r:id="rId3"/>
    <sheet name="CapEx &amp; Depreciation" sheetId="7" r:id="rId4"/>
    <sheet name="Financing" sheetId="8" r:id="rId5"/>
    <sheet name="Simulation" sheetId="13" r:id="rId6"/>
    <sheet name="Sensitivity Analysis" sheetId="24" r:id="rId7"/>
    <sheet name="Data" sheetId="9" r:id="rId8"/>
    <sheet name="DCF Static" sheetId="17" r:id="rId9"/>
    <sheet name="DCF Static Europe &amp; Central Asi" sheetId="22" r:id="rId10"/>
    <sheet name="DCF Static South Asia" sheetId="20" r:id="rId11"/>
    <sheet name="CapEx &amp; Depreciation Static" sheetId="18" r:id="rId12"/>
    <sheet name="Financing Static" sheetId="19" r:id="rId13"/>
  </sheets>
  <definedNames>
    <definedName name="_xlnm.Print_Area" localSheetId="1">Dashboard!$A$1:$R$39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6" l="1"/>
  <c r="H21" i="24" s="1"/>
  <c r="H22" i="24" s="1"/>
  <c r="B25" i="6"/>
  <c r="C22" i="17"/>
  <c r="D22" i="17"/>
  <c r="E22" i="17"/>
  <c r="F22" i="17"/>
  <c r="G22" i="17"/>
  <c r="H22" i="17"/>
  <c r="B22" i="17"/>
  <c r="C21" i="17"/>
  <c r="D21" i="17"/>
  <c r="E21" i="17"/>
  <c r="F21" i="17"/>
  <c r="G21" i="17"/>
  <c r="H21" i="17"/>
  <c r="B21" i="17"/>
  <c r="B19" i="17"/>
  <c r="B18" i="17"/>
  <c r="C18" i="17"/>
  <c r="C15" i="17"/>
  <c r="D15" i="17"/>
  <c r="E15" i="17"/>
  <c r="F15" i="17"/>
  <c r="G15" i="17"/>
  <c r="H15" i="17"/>
  <c r="C16" i="17"/>
  <c r="D16" i="17"/>
  <c r="E16" i="17"/>
  <c r="F16" i="17"/>
  <c r="G16" i="17"/>
  <c r="H16" i="17"/>
  <c r="C17" i="17"/>
  <c r="D17" i="17"/>
  <c r="E17" i="17"/>
  <c r="B17" i="17"/>
  <c r="B16" i="17"/>
  <c r="B15" i="17"/>
  <c r="B14" i="7"/>
  <c r="B20" i="6"/>
  <c r="B19" i="6"/>
  <c r="C15" i="6"/>
  <c r="D15" i="6"/>
  <c r="E15" i="6"/>
  <c r="B15" i="6"/>
  <c r="C17" i="6"/>
  <c r="D17" i="6"/>
  <c r="E17" i="6"/>
  <c r="B17" i="6"/>
  <c r="F16" i="6"/>
  <c r="G16" i="6"/>
  <c r="H16" i="6"/>
  <c r="B16" i="6"/>
  <c r="C21" i="6"/>
  <c r="D21" i="6"/>
  <c r="E21" i="6"/>
  <c r="B21" i="6"/>
  <c r="C22" i="6"/>
  <c r="D22" i="6"/>
  <c r="F22" i="6"/>
  <c r="G22" i="6"/>
  <c r="B22" i="6"/>
  <c r="Q19" i="2"/>
  <c r="Q20" i="2"/>
  <c r="Q21" i="2"/>
  <c r="Q22" i="2"/>
  <c r="Q23" i="2"/>
  <c r="Q24" i="2"/>
  <c r="Q25" i="2"/>
  <c r="Q32" i="2"/>
  <c r="Q33" i="2"/>
  <c r="Q34" i="2"/>
  <c r="Q35" i="2"/>
  <c r="Q36" i="2"/>
  <c r="Q37" i="2"/>
  <c r="Q38" i="2"/>
  <c r="H10" i="24"/>
  <c r="H11" i="24" s="1"/>
  <c r="M33" i="2"/>
  <c r="M35" i="2"/>
  <c r="B9" i="6"/>
  <c r="B20" i="24"/>
  <c r="B19" i="24" s="1"/>
  <c r="B18" i="24" s="1"/>
  <c r="E21" i="24"/>
  <c r="J35" i="2" s="1"/>
  <c r="H16" i="24"/>
  <c r="E9" i="24"/>
  <c r="E8" i="24" s="1"/>
  <c r="E7" i="24" s="1"/>
  <c r="M32" i="2" s="1"/>
  <c r="E10" i="24"/>
  <c r="E11" i="24" s="1"/>
  <c r="B21" i="24"/>
  <c r="B22" i="24" s="1"/>
  <c r="B23" i="24" s="1"/>
  <c r="B24" i="24" s="1"/>
  <c r="B10" i="24"/>
  <c r="B11" i="24" s="1"/>
  <c r="B12" i="24" s="1"/>
  <c r="B13" i="24" s="1"/>
  <c r="N20" i="2"/>
  <c r="N21" i="2"/>
  <c r="N22" i="2"/>
  <c r="N23" i="2"/>
  <c r="N24" i="2"/>
  <c r="N25" i="2"/>
  <c r="N19" i="2"/>
  <c r="G36" i="2"/>
  <c r="H36" i="2"/>
  <c r="G35" i="2"/>
  <c r="H35" i="2"/>
  <c r="F35" i="2"/>
  <c r="C35" i="2"/>
  <c r="C36" i="2"/>
  <c r="C38" i="2"/>
  <c r="P12" i="2"/>
  <c r="O12" i="2"/>
  <c r="P11" i="2"/>
  <c r="O11" i="2"/>
  <c r="L12" i="2"/>
  <c r="K12" i="2"/>
  <c r="L11" i="2"/>
  <c r="K11" i="2"/>
  <c r="O7" i="2"/>
  <c r="O6" i="2"/>
  <c r="K7" i="2"/>
  <c r="K6" i="2"/>
  <c r="C27" i="2"/>
  <c r="C28" i="2"/>
  <c r="C26" i="2"/>
  <c r="C19" i="2"/>
  <c r="C17" i="2"/>
  <c r="C18" i="2"/>
  <c r="K19" i="2"/>
  <c r="K20" i="2"/>
  <c r="K21" i="2"/>
  <c r="K22" i="2"/>
  <c r="K23" i="2"/>
  <c r="K24" i="2"/>
  <c r="K25" i="2"/>
  <c r="H37" i="2"/>
  <c r="G37" i="2"/>
  <c r="H34" i="2"/>
  <c r="G34" i="2"/>
  <c r="H33" i="2"/>
  <c r="G33" i="2"/>
  <c r="C8" i="13"/>
  <c r="D30" i="13"/>
  <c r="E30" i="13"/>
  <c r="C30" i="13"/>
  <c r="D31" i="13"/>
  <c r="E31" i="13"/>
  <c r="C31" i="13"/>
  <c r="B20" i="17" l="1"/>
  <c r="M36" i="2"/>
  <c r="E12" i="24"/>
  <c r="P36" i="2"/>
  <c r="H23" i="24"/>
  <c r="H12" i="24"/>
  <c r="P23" i="2"/>
  <c r="P35" i="2"/>
  <c r="H20" i="24"/>
  <c r="P22" i="2"/>
  <c r="H9" i="24"/>
  <c r="B9" i="24"/>
  <c r="B8" i="24" s="1"/>
  <c r="B7" i="24" s="1"/>
  <c r="M34" i="2"/>
  <c r="E22" i="24"/>
  <c r="J36" i="2" s="1"/>
  <c r="E23" i="24"/>
  <c r="E20" i="24"/>
  <c r="M21" i="2"/>
  <c r="J22" i="2"/>
  <c r="M22" i="2"/>
  <c r="G24" i="13"/>
  <c r="H24" i="13"/>
  <c r="F24" i="13"/>
  <c r="F23" i="13"/>
  <c r="G23" i="13"/>
  <c r="H23" i="13"/>
  <c r="F6" i="13"/>
  <c r="P21" i="2" l="1"/>
  <c r="H8" i="24"/>
  <c r="E13" i="24"/>
  <c r="M38" i="2" s="1"/>
  <c r="M37" i="2"/>
  <c r="H19" i="24"/>
  <c r="P34" i="2"/>
  <c r="H13" i="24"/>
  <c r="P25" i="2" s="1"/>
  <c r="P24" i="2"/>
  <c r="P37" i="2"/>
  <c r="H24" i="24"/>
  <c r="P38" i="2" s="1"/>
  <c r="J34" i="2"/>
  <c r="E19" i="24"/>
  <c r="J37" i="2"/>
  <c r="E24" i="24"/>
  <c r="J38" i="2" s="1"/>
  <c r="M23" i="2"/>
  <c r="M24" i="2"/>
  <c r="M25" i="2"/>
  <c r="M19" i="2"/>
  <c r="M20" i="2"/>
  <c r="B18" i="8"/>
  <c r="C22" i="2"/>
  <c r="C31" i="2"/>
  <c r="C30" i="2"/>
  <c r="C29" i="2"/>
  <c r="C21" i="2"/>
  <c r="C20" i="2"/>
  <c r="D140" i="13"/>
  <c r="B255" i="13" s="1"/>
  <c r="D141" i="13"/>
  <c r="D143" i="13" s="1"/>
  <c r="D144" i="13"/>
  <c r="C141" i="13"/>
  <c r="C144" i="13"/>
  <c r="C140" i="13"/>
  <c r="C12" i="2"/>
  <c r="C11" i="2"/>
  <c r="J15" i="19"/>
  <c r="K15" i="19"/>
  <c r="L15" i="19" s="1"/>
  <c r="D7" i="17"/>
  <c r="E7" i="17"/>
  <c r="C7" i="17"/>
  <c r="G6" i="17"/>
  <c r="H6" i="17"/>
  <c r="F6" i="17"/>
  <c r="B5" i="18" s="1"/>
  <c r="E8" i="17" s="1"/>
  <c r="AH21" i="19"/>
  <c r="B21" i="19"/>
  <c r="D15" i="19"/>
  <c r="E15" i="19" s="1"/>
  <c r="F15" i="19" s="1"/>
  <c r="G15" i="19" s="1"/>
  <c r="H15" i="19" s="1"/>
  <c r="I15" i="19" s="1"/>
  <c r="D16" i="18"/>
  <c r="E16" i="18" s="1"/>
  <c r="F16" i="18" s="1"/>
  <c r="G16" i="18" s="1"/>
  <c r="H16" i="18" s="1"/>
  <c r="I16" i="18" s="1"/>
  <c r="J16" i="18" s="1"/>
  <c r="K16" i="18" s="1"/>
  <c r="A40" i="17"/>
  <c r="A41" i="17" s="1"/>
  <c r="A42" i="17" s="1"/>
  <c r="A38" i="17"/>
  <c r="A37" i="17"/>
  <c r="A36" i="17"/>
  <c r="H23" i="17"/>
  <c r="D23" i="17"/>
  <c r="C23" i="17"/>
  <c r="B23" i="17"/>
  <c r="B24" i="17" s="1"/>
  <c r="D14" i="17"/>
  <c r="E14" i="17" s="1"/>
  <c r="F14" i="17" s="1"/>
  <c r="G14" i="17" s="1"/>
  <c r="H14" i="17" s="1"/>
  <c r="B26" i="17"/>
  <c r="B145" i="13" s="1"/>
  <c r="B12" i="17"/>
  <c r="B9" i="17"/>
  <c r="D5" i="17"/>
  <c r="E5" i="17" s="1"/>
  <c r="F5" i="17" s="1"/>
  <c r="G5" i="17" s="1"/>
  <c r="H5" i="17" s="1"/>
  <c r="B5" i="17"/>
  <c r="B144" i="13"/>
  <c r="F37" i="2" s="1"/>
  <c r="B141" i="13"/>
  <c r="B140" i="13"/>
  <c r="H7" i="24" l="1"/>
  <c r="P19" i="2" s="1"/>
  <c r="P20" i="2"/>
  <c r="H18" i="24"/>
  <c r="P32" i="2" s="1"/>
  <c r="P33" i="2"/>
  <c r="E18" i="24"/>
  <c r="J32" i="2" s="1"/>
  <c r="J33" i="2"/>
  <c r="C13" i="2"/>
  <c r="F34" i="2"/>
  <c r="B149" i="13"/>
  <c r="F33" i="2"/>
  <c r="C255" i="13"/>
  <c r="C143" i="13"/>
  <c r="B202" i="13"/>
  <c r="M15" i="19"/>
  <c r="N15" i="19" s="1"/>
  <c r="O15" i="19" s="1"/>
  <c r="P15" i="19" s="1"/>
  <c r="Q15" i="19" s="1"/>
  <c r="R15" i="19" s="1"/>
  <c r="S15" i="19" s="1"/>
  <c r="T15" i="19" s="1"/>
  <c r="U15" i="19" s="1"/>
  <c r="V15" i="19" s="1"/>
  <c r="W15" i="19" s="1"/>
  <c r="X15" i="19" s="1"/>
  <c r="Y15" i="19" s="1"/>
  <c r="Z15" i="19" s="1"/>
  <c r="AA15" i="19" s="1"/>
  <c r="AB15" i="19" s="1"/>
  <c r="AC15" i="19" s="1"/>
  <c r="AD15" i="19" s="1"/>
  <c r="AE15" i="19" s="1"/>
  <c r="AF15" i="19" s="1"/>
  <c r="AG15" i="19" s="1"/>
  <c r="AH15" i="19" s="1"/>
  <c r="D24" i="17"/>
  <c r="B25" i="17"/>
  <c r="C24" i="17"/>
  <c r="B143" i="13"/>
  <c r="F36" i="2" s="1"/>
  <c r="C149" i="13" l="1"/>
  <c r="B150" i="13" s="1"/>
  <c r="C150" i="13" s="1"/>
  <c r="C202" i="13"/>
  <c r="D202" i="13"/>
  <c r="D149" i="13" l="1"/>
  <c r="B203" i="13"/>
  <c r="B151" i="13"/>
  <c r="C151" i="13" s="1"/>
  <c r="B152" i="13" s="1"/>
  <c r="C152" i="13" s="1"/>
  <c r="C203" i="13" l="1"/>
  <c r="B153" i="13"/>
  <c r="C153" i="13" s="1"/>
  <c r="B204" i="13" l="1"/>
  <c r="D203" i="13"/>
  <c r="B154" i="13"/>
  <c r="C154" i="13" s="1"/>
  <c r="B155" i="13" l="1"/>
  <c r="C155" i="13" s="1"/>
  <c r="B156" i="13" l="1"/>
  <c r="C156" i="13" s="1"/>
  <c r="B157" i="13" l="1"/>
  <c r="C157" i="13" s="1"/>
  <c r="B158" i="13" l="1"/>
  <c r="C158" i="13" s="1"/>
  <c r="B159" i="13" l="1"/>
  <c r="C159" i="13" s="1"/>
  <c r="B160" i="13" l="1"/>
  <c r="C160" i="13" s="1"/>
  <c r="B161" i="13" l="1"/>
  <c r="C161" i="13" s="1"/>
  <c r="B162" i="13" l="1"/>
  <c r="C162" i="13" s="1"/>
  <c r="B163" i="13" l="1"/>
  <c r="C163" i="13" s="1"/>
  <c r="B164" i="13" l="1"/>
  <c r="C164" i="13" s="1"/>
  <c r="B165" i="13" l="1"/>
  <c r="C165" i="13" s="1"/>
  <c r="B166" i="13" l="1"/>
  <c r="C166" i="13" s="1"/>
  <c r="B167" i="13" l="1"/>
  <c r="C167" i="13" s="1"/>
  <c r="B168" i="13" l="1"/>
  <c r="C168" i="13" s="1"/>
  <c r="B169" i="13" l="1"/>
  <c r="C169" i="13" s="1"/>
  <c r="B170" i="13" l="1"/>
  <c r="C170" i="13" s="1"/>
  <c r="B171" i="13" l="1"/>
  <c r="C171" i="13" s="1"/>
  <c r="B172" i="13" l="1"/>
  <c r="C172" i="13" s="1"/>
  <c r="B173" i="13" l="1"/>
  <c r="C173" i="13" s="1"/>
  <c r="B174" i="13" l="1"/>
  <c r="C174" i="13" s="1"/>
  <c r="B175" i="13" l="1"/>
  <c r="C175" i="13" s="1"/>
  <c r="B176" i="13" l="1"/>
  <c r="C176" i="13" s="1"/>
  <c r="B177" i="13" l="1"/>
  <c r="C177" i="13" s="1"/>
  <c r="B178" i="13" l="1"/>
  <c r="C178" i="13" s="1"/>
  <c r="B179" i="13" l="1"/>
  <c r="C179" i="13" s="1"/>
  <c r="B180" i="13" l="1"/>
  <c r="C180" i="13" s="1"/>
  <c r="B181" i="13" l="1"/>
  <c r="C181" i="13" s="1"/>
  <c r="B182" i="13" l="1"/>
  <c r="C182" i="13" s="1"/>
  <c r="B183" i="13" l="1"/>
  <c r="C183" i="13" s="1"/>
  <c r="B184" i="13" l="1"/>
  <c r="C184" i="13" s="1"/>
  <c r="B185" i="13" l="1"/>
  <c r="C185" i="13" s="1"/>
  <c r="B186" i="13" l="1"/>
  <c r="C186" i="13" s="1"/>
  <c r="B187" i="13" l="1"/>
  <c r="C187" i="13" s="1"/>
  <c r="B188" i="13" l="1"/>
  <c r="C188" i="13" s="1"/>
  <c r="B189" i="13" l="1"/>
  <c r="C189" i="13" s="1"/>
  <c r="B190" i="13" l="1"/>
  <c r="C190" i="13" s="1"/>
  <c r="B191" i="13" l="1"/>
  <c r="C191" i="13" s="1"/>
  <c r="B192" i="13" l="1"/>
  <c r="C192" i="13" s="1"/>
  <c r="B193" i="13" l="1"/>
  <c r="C193" i="13" l="1"/>
  <c r="B194" i="13" l="1"/>
  <c r="C194" i="13" s="1"/>
  <c r="B195" i="13" s="1"/>
  <c r="C195" i="13" s="1"/>
  <c r="B196" i="13" l="1"/>
  <c r="C196" i="13" s="1"/>
  <c r="C204" i="13" l="1"/>
  <c r="B197" i="13"/>
  <c r="C197" i="13" s="1"/>
  <c r="B205" i="13" l="1"/>
  <c r="D204" i="13"/>
  <c r="C205" i="13"/>
  <c r="B198" i="13"/>
  <c r="C198" i="13" s="1"/>
  <c r="B206" i="13" l="1"/>
  <c r="D205" i="13"/>
  <c r="C206" i="13"/>
  <c r="J23" i="2"/>
  <c r="J21" i="2"/>
  <c r="C37" i="2"/>
  <c r="J19" i="2" l="1"/>
  <c r="J20" i="2"/>
  <c r="B207" i="13"/>
  <c r="D206" i="13"/>
  <c r="C207" i="13"/>
  <c r="B3" i="13"/>
  <c r="D3" i="13"/>
  <c r="E3" i="13" s="1"/>
  <c r="F3" i="13" s="1"/>
  <c r="G3" i="13" s="1"/>
  <c r="H3" i="13" s="1"/>
  <c r="G6" i="13"/>
  <c r="H6" i="13"/>
  <c r="F11" i="13"/>
  <c r="G11" i="13"/>
  <c r="H11" i="13"/>
  <c r="D8" i="13"/>
  <c r="E8" i="13"/>
  <c r="C9" i="13"/>
  <c r="D9" i="13"/>
  <c r="E9" i="13"/>
  <c r="C17" i="13"/>
  <c r="D17" i="13"/>
  <c r="E17" i="13"/>
  <c r="F26" i="13"/>
  <c r="F27" i="13" s="1"/>
  <c r="G26" i="13"/>
  <c r="H26" i="13"/>
  <c r="C33" i="13"/>
  <c r="D33" i="13"/>
  <c r="E33" i="13"/>
  <c r="J25" i="2" l="1"/>
  <c r="J24" i="2"/>
  <c r="C18" i="13"/>
  <c r="C19" i="13"/>
  <c r="C34" i="13"/>
  <c r="B208" i="13"/>
  <c r="D207" i="13"/>
  <c r="C208" i="13"/>
  <c r="E18" i="13"/>
  <c r="D18" i="13"/>
  <c r="E19" i="13"/>
  <c r="D19" i="13"/>
  <c r="F5" i="13"/>
  <c r="H27" i="13"/>
  <c r="H5" i="13" s="1"/>
  <c r="H13" i="13" s="1"/>
  <c r="D34" i="13"/>
  <c r="G27" i="13"/>
  <c r="G5" i="13" s="1"/>
  <c r="G13" i="13" s="1"/>
  <c r="E34" i="13"/>
  <c r="C23" i="6"/>
  <c r="D23" i="6"/>
  <c r="H23" i="6"/>
  <c r="B23" i="6"/>
  <c r="H12" i="13" l="1"/>
  <c r="H14" i="13" s="1"/>
  <c r="G12" i="13"/>
  <c r="G14" i="13" s="1"/>
  <c r="F6" i="6"/>
  <c r="F15" i="6" s="1"/>
  <c r="C7" i="6"/>
  <c r="C16" i="6" s="1"/>
  <c r="C18" i="6" s="1"/>
  <c r="B209" i="13"/>
  <c r="C209" i="13" s="1"/>
  <c r="D208" i="13"/>
  <c r="E20" i="13"/>
  <c r="D7" i="6"/>
  <c r="D16" i="6" s="1"/>
  <c r="C19" i="17"/>
  <c r="C20" i="17" s="1"/>
  <c r="C25" i="17" s="1"/>
  <c r="B7" i="18"/>
  <c r="G8" i="17" s="1"/>
  <c r="D18" i="17"/>
  <c r="E18" i="17"/>
  <c r="B6" i="18"/>
  <c r="F8" i="17" s="1"/>
  <c r="C20" i="13"/>
  <c r="D20" i="13"/>
  <c r="G6" i="6"/>
  <c r="G15" i="6" s="1"/>
  <c r="E7" i="6"/>
  <c r="E16" i="6" s="1"/>
  <c r="C19" i="6" l="1"/>
  <c r="C20" i="6" s="1"/>
  <c r="C25" i="6" s="1"/>
  <c r="F12" i="13"/>
  <c r="F13" i="13"/>
  <c r="B210" i="13"/>
  <c r="D209" i="13"/>
  <c r="C210" i="13"/>
  <c r="B4" i="18"/>
  <c r="B12" i="18" s="1"/>
  <c r="D19" i="17"/>
  <c r="D20" i="17" s="1"/>
  <c r="D25" i="17" s="1"/>
  <c r="E19" i="17"/>
  <c r="E20" i="17" s="1"/>
  <c r="H6" i="6"/>
  <c r="H15" i="6" s="1"/>
  <c r="B18" i="6" l="1"/>
  <c r="F14" i="13"/>
  <c r="B211" i="13"/>
  <c r="D210" i="13"/>
  <c r="C211" i="13"/>
  <c r="E17" i="18"/>
  <c r="D12" i="8"/>
  <c r="E12" i="8" s="1"/>
  <c r="F12" i="8" s="1"/>
  <c r="G12" i="8" s="1"/>
  <c r="H12" i="8" s="1"/>
  <c r="I12" i="8" s="1"/>
  <c r="B212" i="13" l="1"/>
  <c r="D211" i="13"/>
  <c r="C212" i="13"/>
  <c r="K18" i="18"/>
  <c r="J18" i="18"/>
  <c r="I18" i="18"/>
  <c r="B13" i="18"/>
  <c r="H17" i="18" s="1"/>
  <c r="H18" i="18"/>
  <c r="H17" i="17" s="1"/>
  <c r="G18" i="18"/>
  <c r="G17" i="17" s="1"/>
  <c r="F18" i="18"/>
  <c r="F17" i="17" s="1"/>
  <c r="C24" i="6"/>
  <c r="D5" i="6"/>
  <c r="E5" i="6" s="1"/>
  <c r="F5" i="6" s="1"/>
  <c r="G5" i="6" s="1"/>
  <c r="H5" i="6" s="1"/>
  <c r="B5" i="6"/>
  <c r="B213" i="13" l="1"/>
  <c r="D212" i="13"/>
  <c r="C213" i="13"/>
  <c r="B24" i="6"/>
  <c r="AH18" i="8"/>
  <c r="C34" i="2"/>
  <c r="B214" i="13" l="1"/>
  <c r="D213" i="13"/>
  <c r="C214" i="13"/>
  <c r="D24" i="6"/>
  <c r="B215" i="13" l="1"/>
  <c r="D214" i="13"/>
  <c r="C215" i="13"/>
  <c r="B6" i="7"/>
  <c r="B4" i="7"/>
  <c r="D18" i="6"/>
  <c r="J12" i="8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W12" i="8" s="1"/>
  <c r="X12" i="8" s="1"/>
  <c r="Y12" i="8" s="1"/>
  <c r="Z12" i="8" s="1"/>
  <c r="AA12" i="8" s="1"/>
  <c r="AB12" i="8" s="1"/>
  <c r="AC12" i="8" s="1"/>
  <c r="AD12" i="8" s="1"/>
  <c r="AE12" i="8" s="1"/>
  <c r="AF12" i="8" s="1"/>
  <c r="AG12" i="8" s="1"/>
  <c r="AH12" i="8" s="1"/>
  <c r="D16" i="7"/>
  <c r="E16" i="7" s="1"/>
  <c r="F16" i="7" s="1"/>
  <c r="G16" i="7" s="1"/>
  <c r="H16" i="7" s="1"/>
  <c r="B16" i="7"/>
  <c r="B216" i="13" l="1"/>
  <c r="D215" i="13"/>
  <c r="F23" i="17"/>
  <c r="C216" i="13"/>
  <c r="F8" i="6"/>
  <c r="F23" i="6" s="1"/>
  <c r="B5" i="7"/>
  <c r="D14" i="6"/>
  <c r="E14" i="6" s="1"/>
  <c r="F14" i="6" s="1"/>
  <c r="G14" i="6" s="1"/>
  <c r="H14" i="6" s="1"/>
  <c r="D19" i="6"/>
  <c r="D20" i="6" s="1"/>
  <c r="D25" i="6" s="1"/>
  <c r="B7" i="7"/>
  <c r="B12" i="7"/>
  <c r="I16" i="7"/>
  <c r="J16" i="7" s="1"/>
  <c r="K16" i="7" s="1"/>
  <c r="E17" i="7"/>
  <c r="E22" i="6" s="1"/>
  <c r="B217" i="13" l="1"/>
  <c r="D216" i="13"/>
  <c r="C217" i="13"/>
  <c r="G8" i="6"/>
  <c r="G23" i="6" s="1"/>
  <c r="G23" i="17"/>
  <c r="E8" i="6"/>
  <c r="E23" i="6" s="1"/>
  <c r="E23" i="17"/>
  <c r="F18" i="7"/>
  <c r="G18" i="7"/>
  <c r="H18" i="7"/>
  <c r="B13" i="7"/>
  <c r="H17" i="7" s="1"/>
  <c r="H22" i="6" s="1"/>
  <c r="B8" i="7"/>
  <c r="K18" i="7"/>
  <c r="I18" i="7"/>
  <c r="J18" i="7"/>
  <c r="F21" i="6" l="1"/>
  <c r="F17" i="6"/>
  <c r="F18" i="6" s="1"/>
  <c r="F19" i="6" s="1"/>
  <c r="F20" i="6" s="1"/>
  <c r="H21" i="6"/>
  <c r="H17" i="6"/>
  <c r="H18" i="6" s="1"/>
  <c r="H19" i="6" s="1"/>
  <c r="H20" i="6" s="1"/>
  <c r="G21" i="6"/>
  <c r="G17" i="6"/>
  <c r="G18" i="6" s="1"/>
  <c r="G19" i="6" s="1"/>
  <c r="G20" i="6" s="1"/>
  <c r="B218" i="13"/>
  <c r="D217" i="13"/>
  <c r="C218" i="13"/>
  <c r="H24" i="17"/>
  <c r="G24" i="17"/>
  <c r="E24" i="17"/>
  <c r="E25" i="17" s="1"/>
  <c r="B6" i="19" s="1"/>
  <c r="F24" i="17"/>
  <c r="H18" i="17"/>
  <c r="G18" i="17"/>
  <c r="H24" i="6"/>
  <c r="E24" i="6"/>
  <c r="E18" i="6"/>
  <c r="E19" i="6" s="1"/>
  <c r="E20" i="6" s="1"/>
  <c r="H25" i="6" l="1"/>
  <c r="E25" i="6"/>
  <c r="B219" i="13"/>
  <c r="D218" i="13"/>
  <c r="C219" i="13"/>
  <c r="F18" i="17"/>
  <c r="F19" i="17" s="1"/>
  <c r="F20" i="17" s="1"/>
  <c r="F25" i="17" s="1"/>
  <c r="B8" i="18"/>
  <c r="G19" i="17"/>
  <c r="G20" i="17" s="1"/>
  <c r="G25" i="17" s="1"/>
  <c r="H19" i="17"/>
  <c r="H20" i="17" s="1"/>
  <c r="H25" i="17" s="1"/>
  <c r="F24" i="6"/>
  <c r="F25" i="6" s="1"/>
  <c r="G24" i="6"/>
  <c r="G25" i="6" s="1"/>
  <c r="B26" i="6" l="1"/>
  <c r="B37" i="13" s="1"/>
  <c r="B220" i="13"/>
  <c r="D219" i="13"/>
  <c r="C220" i="13"/>
  <c r="B7" i="19"/>
  <c r="H19" i="19" s="1"/>
  <c r="B6" i="8"/>
  <c r="B7" i="8" s="1"/>
  <c r="D145" i="13" l="1"/>
  <c r="H38" i="2" s="1"/>
  <c r="C145" i="13"/>
  <c r="F38" i="2"/>
  <c r="B221" i="13"/>
  <c r="D220" i="13"/>
  <c r="C8" i="2"/>
  <c r="C221" i="13"/>
  <c r="B29" i="17"/>
  <c r="B35" i="17"/>
  <c r="C16" i="19"/>
  <c r="C20" i="19" s="1"/>
  <c r="C21" i="19" s="1"/>
  <c r="B8" i="19"/>
  <c r="D150" i="13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D164" i="13"/>
  <c r="E164" i="13" s="1"/>
  <c r="D165" i="13"/>
  <c r="E165" i="13" s="1"/>
  <c r="D166" i="13"/>
  <c r="E166" i="13" s="1"/>
  <c r="D167" i="13"/>
  <c r="E167" i="13" s="1"/>
  <c r="D168" i="13"/>
  <c r="E168" i="13" s="1"/>
  <c r="D169" i="13"/>
  <c r="E169" i="13" s="1"/>
  <c r="D170" i="13"/>
  <c r="E170" i="13" s="1"/>
  <c r="D171" i="13"/>
  <c r="E171" i="13" s="1"/>
  <c r="D172" i="13"/>
  <c r="E172" i="13" s="1"/>
  <c r="D173" i="13"/>
  <c r="E173" i="13" s="1"/>
  <c r="D174" i="13"/>
  <c r="E174" i="13" s="1"/>
  <c r="D175" i="13"/>
  <c r="E175" i="13" s="1"/>
  <c r="D176" i="13"/>
  <c r="E176" i="13" s="1"/>
  <c r="D177" i="13"/>
  <c r="E177" i="13" s="1"/>
  <c r="D178" i="13"/>
  <c r="E178" i="13" s="1"/>
  <c r="D179" i="13"/>
  <c r="E179" i="13" s="1"/>
  <c r="D180" i="13"/>
  <c r="E180" i="13" s="1"/>
  <c r="D181" i="13"/>
  <c r="E181" i="13" s="1"/>
  <c r="D182" i="13"/>
  <c r="E182" i="13" s="1"/>
  <c r="D183" i="13"/>
  <c r="E183" i="13" s="1"/>
  <c r="D184" i="13"/>
  <c r="E184" i="13" s="1"/>
  <c r="D185" i="13"/>
  <c r="E185" i="13" s="1"/>
  <c r="D186" i="13"/>
  <c r="E186" i="13" s="1"/>
  <c r="D187" i="13"/>
  <c r="E187" i="13" s="1"/>
  <c r="D188" i="13"/>
  <c r="E188" i="13" s="1"/>
  <c r="D189" i="13"/>
  <c r="E189" i="13" s="1"/>
  <c r="D190" i="13"/>
  <c r="E190" i="13" s="1"/>
  <c r="D191" i="13"/>
  <c r="E191" i="13" s="1"/>
  <c r="D192" i="13"/>
  <c r="E192" i="13" s="1"/>
  <c r="D193" i="13"/>
  <c r="D194" i="13"/>
  <c r="E194" i="13" s="1"/>
  <c r="D195" i="13"/>
  <c r="E195" i="13" s="1"/>
  <c r="D196" i="13"/>
  <c r="E196" i="13" s="1"/>
  <c r="D197" i="13"/>
  <c r="E197" i="13" s="1"/>
  <c r="D198" i="13"/>
  <c r="E198" i="13" s="1"/>
  <c r="B29" i="6"/>
  <c r="H16" i="8"/>
  <c r="C13" i="8"/>
  <c r="E220" i="13" l="1"/>
  <c r="F220" i="13" s="1"/>
  <c r="G38" i="2"/>
  <c r="E149" i="13"/>
  <c r="F149" i="13" s="1"/>
  <c r="E150" i="13"/>
  <c r="E202" i="13"/>
  <c r="F202" i="13" s="1"/>
  <c r="E203" i="13"/>
  <c r="F203" i="13" s="1"/>
  <c r="E204" i="13"/>
  <c r="F204" i="13" s="1"/>
  <c r="E205" i="13"/>
  <c r="F205" i="13" s="1"/>
  <c r="E206" i="13"/>
  <c r="F206" i="13" s="1"/>
  <c r="E207" i="13"/>
  <c r="F207" i="13" s="1"/>
  <c r="E208" i="13"/>
  <c r="F208" i="13" s="1"/>
  <c r="E209" i="13"/>
  <c r="F209" i="13" s="1"/>
  <c r="E210" i="13"/>
  <c r="F210" i="13" s="1"/>
  <c r="E211" i="13"/>
  <c r="F211" i="13" s="1"/>
  <c r="E212" i="13"/>
  <c r="F212" i="13" s="1"/>
  <c r="E213" i="13"/>
  <c r="F213" i="13" s="1"/>
  <c r="E214" i="13"/>
  <c r="F214" i="13" s="1"/>
  <c r="E215" i="13"/>
  <c r="F215" i="13" s="1"/>
  <c r="E216" i="13"/>
  <c r="F216" i="13" s="1"/>
  <c r="E217" i="13"/>
  <c r="F217" i="13" s="1"/>
  <c r="E218" i="13"/>
  <c r="F218" i="13" s="1"/>
  <c r="E219" i="13"/>
  <c r="F219" i="13" s="1"/>
  <c r="B222" i="13"/>
  <c r="E221" i="13"/>
  <c r="D221" i="13"/>
  <c r="C17" i="8"/>
  <c r="D13" i="8" s="1"/>
  <c r="D14" i="8" s="1"/>
  <c r="E193" i="13"/>
  <c r="F193" i="13" s="1"/>
  <c r="C222" i="13"/>
  <c r="D16" i="19"/>
  <c r="D17" i="19" s="1"/>
  <c r="D18" i="19" s="1"/>
  <c r="F196" i="13"/>
  <c r="F188" i="13"/>
  <c r="F180" i="13"/>
  <c r="F172" i="13"/>
  <c r="F164" i="13"/>
  <c r="F156" i="13"/>
  <c r="F198" i="13"/>
  <c r="F195" i="13"/>
  <c r="F187" i="13"/>
  <c r="F179" i="13"/>
  <c r="F171" i="13"/>
  <c r="F163" i="13"/>
  <c r="F155" i="13"/>
  <c r="F197" i="13"/>
  <c r="F194" i="13"/>
  <c r="F186" i="13"/>
  <c r="F178" i="13"/>
  <c r="F170" i="13"/>
  <c r="F162" i="13"/>
  <c r="F154" i="13"/>
  <c r="F185" i="13"/>
  <c r="F177" i="13"/>
  <c r="F169" i="13"/>
  <c r="F161" i="13"/>
  <c r="F153" i="13"/>
  <c r="F192" i="13"/>
  <c r="F184" i="13"/>
  <c r="F176" i="13"/>
  <c r="F168" i="13"/>
  <c r="F160" i="13"/>
  <c r="F152" i="13"/>
  <c r="F191" i="13"/>
  <c r="F183" i="13"/>
  <c r="F175" i="13"/>
  <c r="F167" i="13"/>
  <c r="F159" i="13"/>
  <c r="F151" i="13"/>
  <c r="F190" i="13"/>
  <c r="F182" i="13"/>
  <c r="F174" i="13"/>
  <c r="F166" i="13"/>
  <c r="F158" i="13"/>
  <c r="F150" i="13"/>
  <c r="F189" i="13"/>
  <c r="F181" i="13"/>
  <c r="F173" i="13"/>
  <c r="F165" i="13"/>
  <c r="F157" i="13"/>
  <c r="D199" i="13"/>
  <c r="G149" i="13" s="1"/>
  <c r="B223" i="13" l="1"/>
  <c r="E222" i="13"/>
  <c r="F221" i="13"/>
  <c r="D222" i="13"/>
  <c r="C18" i="8"/>
  <c r="D17" i="8"/>
  <c r="E13" i="8" s="1"/>
  <c r="E14" i="8" s="1"/>
  <c r="D15" i="8"/>
  <c r="D18" i="8" s="1"/>
  <c r="B256" i="13"/>
  <c r="G215" i="13"/>
  <c r="G204" i="13"/>
  <c r="G221" i="13"/>
  <c r="G214" i="13"/>
  <c r="G189" i="13"/>
  <c r="G211" i="13"/>
  <c r="G219" i="13"/>
  <c r="G216" i="13"/>
  <c r="G217" i="13"/>
  <c r="G208" i="13"/>
  <c r="G212" i="13"/>
  <c r="G218" i="13"/>
  <c r="G220" i="13"/>
  <c r="G205" i="13"/>
  <c r="G210" i="13"/>
  <c r="G203" i="13"/>
  <c r="G209" i="13"/>
  <c r="G213" i="13"/>
  <c r="G206" i="13"/>
  <c r="G207" i="13"/>
  <c r="E199" i="13"/>
  <c r="F199" i="13"/>
  <c r="D20" i="19"/>
  <c r="E16" i="19" s="1"/>
  <c r="E17" i="19" s="1"/>
  <c r="E18" i="19" s="1"/>
  <c r="D21" i="19"/>
  <c r="G152" i="13"/>
  <c r="G169" i="13"/>
  <c r="G172" i="13"/>
  <c r="G150" i="13"/>
  <c r="G167" i="13"/>
  <c r="G165" i="13"/>
  <c r="G186" i="13"/>
  <c r="G163" i="13"/>
  <c r="G184" i="13"/>
  <c r="G182" i="13"/>
  <c r="G195" i="13"/>
  <c r="G154" i="13"/>
  <c r="G158" i="13"/>
  <c r="G192" i="13"/>
  <c r="G177" i="13"/>
  <c r="G162" i="13"/>
  <c r="G194" i="13"/>
  <c r="G171" i="13"/>
  <c r="G180" i="13"/>
  <c r="G190" i="13"/>
  <c r="G198" i="13"/>
  <c r="G160" i="13"/>
  <c r="G181" i="13"/>
  <c r="G166" i="13"/>
  <c r="G151" i="13"/>
  <c r="G183" i="13"/>
  <c r="G168" i="13"/>
  <c r="G153" i="13"/>
  <c r="G185" i="13"/>
  <c r="G170" i="13"/>
  <c r="G197" i="13"/>
  <c r="G179" i="13"/>
  <c r="G156" i="13"/>
  <c r="G188" i="13"/>
  <c r="G173" i="13"/>
  <c r="H149" i="13"/>
  <c r="G175" i="13"/>
  <c r="G157" i="13"/>
  <c r="G174" i="13"/>
  <c r="G159" i="13"/>
  <c r="G191" i="13"/>
  <c r="G176" i="13"/>
  <c r="G161" i="13"/>
  <c r="G193" i="13"/>
  <c r="G178" i="13"/>
  <c r="G155" i="13"/>
  <c r="G187" i="13"/>
  <c r="G164" i="13"/>
  <c r="G196" i="13"/>
  <c r="E17" i="8" l="1"/>
  <c r="F13" i="8" s="1"/>
  <c r="F14" i="8" s="1"/>
  <c r="F15" i="8" s="1"/>
  <c r="F18" i="8" s="1"/>
  <c r="F222" i="13"/>
  <c r="D255" i="13"/>
  <c r="C256" i="13"/>
  <c r="B257" i="13" s="1"/>
  <c r="G222" i="13"/>
  <c r="H154" i="13"/>
  <c r="H162" i="13"/>
  <c r="H170" i="13"/>
  <c r="H178" i="13"/>
  <c r="H186" i="13"/>
  <c r="H194" i="13"/>
  <c r="H155" i="13"/>
  <c r="H163" i="13"/>
  <c r="H171" i="13"/>
  <c r="H179" i="13"/>
  <c r="H187" i="13"/>
  <c r="H195" i="13"/>
  <c r="H156" i="13"/>
  <c r="H164" i="13"/>
  <c r="H172" i="13"/>
  <c r="H180" i="13"/>
  <c r="H188" i="13"/>
  <c r="H196" i="13"/>
  <c r="H157" i="13"/>
  <c r="H165" i="13"/>
  <c r="H173" i="13"/>
  <c r="H181" i="13"/>
  <c r="H189" i="13"/>
  <c r="H197" i="13"/>
  <c r="H150" i="13"/>
  <c r="H158" i="13"/>
  <c r="H166" i="13"/>
  <c r="H174" i="13"/>
  <c r="H182" i="13"/>
  <c r="H190" i="13"/>
  <c r="H198" i="13"/>
  <c r="H151" i="13"/>
  <c r="H159" i="13"/>
  <c r="H167" i="13"/>
  <c r="H175" i="13"/>
  <c r="H183" i="13"/>
  <c r="H191" i="13"/>
  <c r="H152" i="13"/>
  <c r="H160" i="13"/>
  <c r="H168" i="13"/>
  <c r="H176" i="13"/>
  <c r="H184" i="13"/>
  <c r="H192" i="13"/>
  <c r="H153" i="13"/>
  <c r="H161" i="13"/>
  <c r="H169" i="13"/>
  <c r="H177" i="13"/>
  <c r="H185" i="13"/>
  <c r="H193" i="13"/>
  <c r="C223" i="13"/>
  <c r="G199" i="13"/>
  <c r="E20" i="19"/>
  <c r="F16" i="19" s="1"/>
  <c r="F20" i="19" s="1"/>
  <c r="G16" i="19" s="1"/>
  <c r="E21" i="19"/>
  <c r="E15" i="8"/>
  <c r="E18" i="8" s="1"/>
  <c r="F17" i="8" l="1"/>
  <c r="G13" i="8" s="1"/>
  <c r="B224" i="13"/>
  <c r="E223" i="13"/>
  <c r="E255" i="13"/>
  <c r="F255" i="13" s="1"/>
  <c r="D223" i="13"/>
  <c r="F17" i="19"/>
  <c r="F18" i="19" s="1"/>
  <c r="F21" i="19" s="1"/>
  <c r="G17" i="19"/>
  <c r="G18" i="19" s="1"/>
  <c r="G20" i="19"/>
  <c r="H16" i="19" s="1"/>
  <c r="G17" i="8" l="1"/>
  <c r="H13" i="8" s="1"/>
  <c r="H14" i="8" s="1"/>
  <c r="G14" i="8"/>
  <c r="G15" i="8" s="1"/>
  <c r="G18" i="8" s="1"/>
  <c r="F223" i="13"/>
  <c r="G223" i="13"/>
  <c r="C224" i="13"/>
  <c r="H17" i="19"/>
  <c r="H18" i="19" s="1"/>
  <c r="H20" i="19"/>
  <c r="I16" i="19" s="1"/>
  <c r="I20" i="19" s="1"/>
  <c r="G21" i="19"/>
  <c r="H17" i="8" l="1"/>
  <c r="I13" i="8" s="1"/>
  <c r="I14" i="8" s="1"/>
  <c r="B225" i="13"/>
  <c r="E224" i="13"/>
  <c r="D224" i="13"/>
  <c r="I17" i="19"/>
  <c r="I18" i="19" s="1"/>
  <c r="J16" i="19"/>
  <c r="H21" i="19"/>
  <c r="B22" i="19" s="1"/>
  <c r="B30" i="17" s="1"/>
  <c r="C9" i="2" s="1"/>
  <c r="H15" i="8"/>
  <c r="H18" i="8" s="1"/>
  <c r="B19" i="8" s="1"/>
  <c r="B30" i="6" l="1"/>
  <c r="I17" i="8"/>
  <c r="J13" i="8" s="1"/>
  <c r="J14" i="8" s="1"/>
  <c r="F224" i="13"/>
  <c r="G224" i="13"/>
  <c r="C225" i="13"/>
  <c r="D225" i="13" s="1"/>
  <c r="J17" i="19"/>
  <c r="J20" i="19"/>
  <c r="K16" i="19" s="1"/>
  <c r="B31" i="17"/>
  <c r="I21" i="19"/>
  <c r="I15" i="8"/>
  <c r="I18" i="8" s="1"/>
  <c r="B226" i="13" l="1"/>
  <c r="E225" i="13"/>
  <c r="F225" i="13" s="1"/>
  <c r="C10" i="2"/>
  <c r="G225" i="13"/>
  <c r="K20" i="19"/>
  <c r="L16" i="19" s="1"/>
  <c r="K17" i="19"/>
  <c r="J18" i="19"/>
  <c r="J21" i="19" s="1"/>
  <c r="J15" i="8"/>
  <c r="J17" i="8"/>
  <c r="K13" i="8" s="1"/>
  <c r="K14" i="8" s="1"/>
  <c r="C226" i="13" l="1"/>
  <c r="K18" i="19"/>
  <c r="K21" i="19" s="1"/>
  <c r="L17" i="19"/>
  <c r="L20" i="19"/>
  <c r="M16" i="19" s="1"/>
  <c r="J18" i="8"/>
  <c r="K17" i="8"/>
  <c r="L13" i="8" s="1"/>
  <c r="L14" i="8" s="1"/>
  <c r="K15" i="8"/>
  <c r="K18" i="8" s="1"/>
  <c r="B227" i="13" l="1"/>
  <c r="E226" i="13"/>
  <c r="D226" i="13"/>
  <c r="G226" i="13" s="1"/>
  <c r="L18" i="19"/>
  <c r="L21" i="19" s="1"/>
  <c r="M17" i="19"/>
  <c r="M18" i="19" s="1"/>
  <c r="M20" i="19"/>
  <c r="N16" i="19" s="1"/>
  <c r="L15" i="8"/>
  <c r="L17" i="8"/>
  <c r="M13" i="8" s="1"/>
  <c r="M14" i="8" s="1"/>
  <c r="M17" i="8" s="1"/>
  <c r="N13" i="8" s="1"/>
  <c r="F226" i="13" l="1"/>
  <c r="C227" i="13"/>
  <c r="N17" i="19"/>
  <c r="N18" i="19" s="1"/>
  <c r="N20" i="19"/>
  <c r="O16" i="19" s="1"/>
  <c r="M21" i="19"/>
  <c r="L18" i="8"/>
  <c r="M15" i="8"/>
  <c r="M18" i="8" s="1"/>
  <c r="N14" i="8"/>
  <c r="B228" i="13" l="1"/>
  <c r="E227" i="13"/>
  <c r="D227" i="13"/>
  <c r="G227" i="13" s="1"/>
  <c r="O17" i="19"/>
  <c r="O18" i="19" s="1"/>
  <c r="O20" i="19"/>
  <c r="P16" i="19" s="1"/>
  <c r="N21" i="19"/>
  <c r="N15" i="8"/>
  <c r="N17" i="8"/>
  <c r="O13" i="8" s="1"/>
  <c r="F227" i="13" l="1"/>
  <c r="C228" i="13"/>
  <c r="P17" i="19"/>
  <c r="P18" i="19" s="1"/>
  <c r="P20" i="19"/>
  <c r="Q16" i="19" s="1"/>
  <c r="O21" i="19"/>
  <c r="N18" i="8"/>
  <c r="O14" i="8"/>
  <c r="B229" i="13" l="1"/>
  <c r="E228" i="13"/>
  <c r="D228" i="13"/>
  <c r="G228" i="13" s="1"/>
  <c r="P21" i="19"/>
  <c r="Q17" i="19"/>
  <c r="Q18" i="19" s="1"/>
  <c r="Q20" i="19"/>
  <c r="R16" i="19" s="1"/>
  <c r="O15" i="8"/>
  <c r="F228" i="13" l="1"/>
  <c r="C229" i="13"/>
  <c r="R20" i="19"/>
  <c r="S16" i="19" s="1"/>
  <c r="R17" i="19"/>
  <c r="R18" i="19" s="1"/>
  <c r="Q21" i="19"/>
  <c r="O18" i="8"/>
  <c r="O17" i="8"/>
  <c r="P13" i="8" s="1"/>
  <c r="B230" i="13" l="1"/>
  <c r="E229" i="13"/>
  <c r="D229" i="13"/>
  <c r="G229" i="13" s="1"/>
  <c r="R21" i="19"/>
  <c r="S20" i="19"/>
  <c r="T16" i="19" s="1"/>
  <c r="S17" i="19"/>
  <c r="S18" i="19" s="1"/>
  <c r="P14" i="8"/>
  <c r="F229" i="13" l="1"/>
  <c r="C230" i="13"/>
  <c r="T17" i="19"/>
  <c r="T18" i="19" s="1"/>
  <c r="T20" i="19"/>
  <c r="U16" i="19" s="1"/>
  <c r="S21" i="19"/>
  <c r="P15" i="8"/>
  <c r="P17" i="8"/>
  <c r="Q13" i="8" s="1"/>
  <c r="B231" i="13" l="1"/>
  <c r="E230" i="13"/>
  <c r="D230" i="13"/>
  <c r="G230" i="13" s="1"/>
  <c r="U17" i="19"/>
  <c r="U18" i="19" s="1"/>
  <c r="U20" i="19"/>
  <c r="V16" i="19" s="1"/>
  <c r="T21" i="19"/>
  <c r="P18" i="8"/>
  <c r="Q14" i="8"/>
  <c r="F230" i="13" l="1"/>
  <c r="C231" i="13"/>
  <c r="V17" i="19"/>
  <c r="V18" i="19" s="1"/>
  <c r="V20" i="19"/>
  <c r="W16" i="19" s="1"/>
  <c r="U21" i="19"/>
  <c r="Q15" i="8"/>
  <c r="Q17" i="8"/>
  <c r="R13" i="8" s="1"/>
  <c r="B232" i="13" l="1"/>
  <c r="E231" i="13"/>
  <c r="D231" i="13"/>
  <c r="G231" i="13" s="1"/>
  <c r="W17" i="19"/>
  <c r="W18" i="19" s="1"/>
  <c r="W20" i="19"/>
  <c r="X16" i="19" s="1"/>
  <c r="V21" i="19"/>
  <c r="Q18" i="8"/>
  <c r="R14" i="8"/>
  <c r="F231" i="13" l="1"/>
  <c r="C232" i="13"/>
  <c r="W21" i="19"/>
  <c r="X17" i="19"/>
  <c r="X18" i="19" s="1"/>
  <c r="X20" i="19"/>
  <c r="Y16" i="19" s="1"/>
  <c r="R15" i="8"/>
  <c r="R17" i="8"/>
  <c r="S13" i="8" s="1"/>
  <c r="B233" i="13" l="1"/>
  <c r="E232" i="13"/>
  <c r="D232" i="13"/>
  <c r="G232" i="13" s="1"/>
  <c r="Y17" i="19"/>
  <c r="Y18" i="19" s="1"/>
  <c r="Y20" i="19"/>
  <c r="Z16" i="19" s="1"/>
  <c r="X21" i="19"/>
  <c r="R18" i="8"/>
  <c r="S14" i="8"/>
  <c r="F232" i="13" l="1"/>
  <c r="C233" i="13"/>
  <c r="Z20" i="19"/>
  <c r="AA16" i="19" s="1"/>
  <c r="Z17" i="19"/>
  <c r="Z18" i="19" s="1"/>
  <c r="Y21" i="19"/>
  <c r="S15" i="8"/>
  <c r="S17" i="8"/>
  <c r="T13" i="8" s="1"/>
  <c r="B234" i="13" l="1"/>
  <c r="E233" i="13"/>
  <c r="D233" i="13"/>
  <c r="G233" i="13" s="1"/>
  <c r="Z21" i="19"/>
  <c r="AA20" i="19"/>
  <c r="AB16" i="19" s="1"/>
  <c r="AA17" i="19"/>
  <c r="AA18" i="19" s="1"/>
  <c r="S18" i="8"/>
  <c r="T14" i="8"/>
  <c r="F233" i="13" l="1"/>
  <c r="C234" i="13"/>
  <c r="AB17" i="19"/>
  <c r="AB18" i="19" s="1"/>
  <c r="AB20" i="19"/>
  <c r="AC16" i="19" s="1"/>
  <c r="AA21" i="19"/>
  <c r="T15" i="8"/>
  <c r="T17" i="8"/>
  <c r="U13" i="8" s="1"/>
  <c r="B235" i="13" l="1"/>
  <c r="E234" i="13"/>
  <c r="D234" i="13"/>
  <c r="G234" i="13" s="1"/>
  <c r="AC17" i="19"/>
  <c r="AC18" i="19" s="1"/>
  <c r="AC20" i="19"/>
  <c r="AD16" i="19" s="1"/>
  <c r="AB21" i="19"/>
  <c r="T18" i="8"/>
  <c r="U14" i="8"/>
  <c r="F234" i="13" l="1"/>
  <c r="C235" i="13"/>
  <c r="AD17" i="19"/>
  <c r="AD18" i="19" s="1"/>
  <c r="AD20" i="19"/>
  <c r="AE16" i="19" s="1"/>
  <c r="AC21" i="19"/>
  <c r="U15" i="8"/>
  <c r="U17" i="8"/>
  <c r="V13" i="8" s="1"/>
  <c r="B236" i="13" l="1"/>
  <c r="E235" i="13"/>
  <c r="D235" i="13"/>
  <c r="G235" i="13" s="1"/>
  <c r="C236" i="13"/>
  <c r="AE17" i="19"/>
  <c r="AE18" i="19" s="1"/>
  <c r="AE20" i="19"/>
  <c r="AF16" i="19" s="1"/>
  <c r="AD21" i="19"/>
  <c r="U18" i="8"/>
  <c r="V14" i="8"/>
  <c r="B237" i="13" l="1"/>
  <c r="E236" i="13"/>
  <c r="F235" i="13"/>
  <c r="D236" i="13"/>
  <c r="G236" i="13" s="1"/>
  <c r="AF17" i="19"/>
  <c r="AF18" i="19" s="1"/>
  <c r="AF20" i="19"/>
  <c r="AG16" i="19" s="1"/>
  <c r="AE21" i="19"/>
  <c r="V15" i="8"/>
  <c r="V17" i="8"/>
  <c r="W13" i="8" s="1"/>
  <c r="F236" i="13" l="1"/>
  <c r="C237" i="13"/>
  <c r="AG17" i="19"/>
  <c r="AG18" i="19" s="1"/>
  <c r="AG20" i="19"/>
  <c r="AF21" i="19"/>
  <c r="V18" i="8"/>
  <c r="W14" i="8"/>
  <c r="B238" i="13" l="1"/>
  <c r="E237" i="13"/>
  <c r="D237" i="13"/>
  <c r="AG21" i="19"/>
  <c r="W15" i="8"/>
  <c r="W17" i="8"/>
  <c r="X13" i="8" s="1"/>
  <c r="F237" i="13" l="1"/>
  <c r="C238" i="13"/>
  <c r="G237" i="13"/>
  <c r="W18" i="8"/>
  <c r="X14" i="8"/>
  <c r="B239" i="13" l="1"/>
  <c r="E238" i="13"/>
  <c r="D238" i="13"/>
  <c r="G238" i="13" s="1"/>
  <c r="X15" i="8"/>
  <c r="X17" i="8"/>
  <c r="Y13" i="8" s="1"/>
  <c r="F238" i="13" l="1"/>
  <c r="C239" i="13"/>
  <c r="X18" i="8"/>
  <c r="Y14" i="8"/>
  <c r="B240" i="13" l="1"/>
  <c r="E239" i="13"/>
  <c r="D239" i="13"/>
  <c r="Y15" i="8"/>
  <c r="Y17" i="8"/>
  <c r="Z13" i="8" s="1"/>
  <c r="F239" i="13" l="1"/>
  <c r="G239" i="13"/>
  <c r="C240" i="13"/>
  <c r="Y18" i="8"/>
  <c r="Z14" i="8"/>
  <c r="B241" i="13" l="1"/>
  <c r="E240" i="13"/>
  <c r="D240" i="13"/>
  <c r="Z15" i="8"/>
  <c r="Z17" i="8"/>
  <c r="AA13" i="8" s="1"/>
  <c r="F240" i="13" l="1"/>
  <c r="G240" i="13"/>
  <c r="C241" i="13"/>
  <c r="Z18" i="8"/>
  <c r="AA14" i="8"/>
  <c r="B242" i="13" l="1"/>
  <c r="E241" i="13"/>
  <c r="D241" i="13"/>
  <c r="C242" i="13"/>
  <c r="AA15" i="8"/>
  <c r="AA17" i="8"/>
  <c r="AB13" i="8" s="1"/>
  <c r="B243" i="13" l="1"/>
  <c r="E242" i="13"/>
  <c r="F241" i="13"/>
  <c r="D242" i="13"/>
  <c r="G242" i="13" s="1"/>
  <c r="G241" i="13"/>
  <c r="AA18" i="8"/>
  <c r="AB14" i="8"/>
  <c r="F242" i="13" l="1"/>
  <c r="C243" i="13"/>
  <c r="AB15" i="8"/>
  <c r="AB17" i="8"/>
  <c r="AC13" i="8" s="1"/>
  <c r="B244" i="13" l="1"/>
  <c r="E243" i="13"/>
  <c r="D243" i="13"/>
  <c r="AB18" i="8"/>
  <c r="AC14" i="8"/>
  <c r="F243" i="13" l="1"/>
  <c r="C244" i="13"/>
  <c r="G243" i="13"/>
  <c r="AC15" i="8"/>
  <c r="AC17" i="8"/>
  <c r="AD13" i="8" s="1"/>
  <c r="B245" i="13" l="1"/>
  <c r="E244" i="13"/>
  <c r="D244" i="13"/>
  <c r="G244" i="13" s="1"/>
  <c r="AC18" i="8"/>
  <c r="AD14" i="8"/>
  <c r="F244" i="13" l="1"/>
  <c r="C245" i="13"/>
  <c r="AD15" i="8"/>
  <c r="AD17" i="8"/>
  <c r="AE13" i="8" s="1"/>
  <c r="B246" i="13" l="1"/>
  <c r="E245" i="13"/>
  <c r="D245" i="13"/>
  <c r="G245" i="13" s="1"/>
  <c r="AD18" i="8"/>
  <c r="AE14" i="8"/>
  <c r="F245" i="13" l="1"/>
  <c r="AE15" i="8"/>
  <c r="AE17" i="8"/>
  <c r="AF13" i="8" s="1"/>
  <c r="C246" i="13" l="1"/>
  <c r="AE18" i="8"/>
  <c r="AF14" i="8"/>
  <c r="B247" i="13" l="1"/>
  <c r="E246" i="13"/>
  <c r="D246" i="13"/>
  <c r="G246" i="13" s="1"/>
  <c r="C247" i="13"/>
  <c r="AF15" i="8"/>
  <c r="AF17" i="8"/>
  <c r="AG13" i="8" s="1"/>
  <c r="B248" i="13" l="1"/>
  <c r="C248" i="13" s="1"/>
  <c r="E247" i="13"/>
  <c r="F246" i="13"/>
  <c r="D247" i="13"/>
  <c r="G247" i="13" s="1"/>
  <c r="D256" i="13"/>
  <c r="AF18" i="8"/>
  <c r="AG14" i="8"/>
  <c r="B249" i="13" l="1"/>
  <c r="E248" i="13"/>
  <c r="F247" i="13"/>
  <c r="D248" i="13"/>
  <c r="G248" i="13" s="1"/>
  <c r="G256" i="13"/>
  <c r="E256" i="13"/>
  <c r="C257" i="13"/>
  <c r="B258" i="13" s="1"/>
  <c r="AG15" i="8"/>
  <c r="AG17" i="8"/>
  <c r="F248" i="13" l="1"/>
  <c r="F256" i="13"/>
  <c r="D257" i="13"/>
  <c r="C249" i="13"/>
  <c r="AG18" i="8"/>
  <c r="B250" i="13" l="1"/>
  <c r="E249" i="13"/>
  <c r="D249" i="13"/>
  <c r="G249" i="13" s="1"/>
  <c r="E257" i="13"/>
  <c r="F257" i="13" s="1"/>
  <c r="C258" i="13"/>
  <c r="B259" i="13" s="1"/>
  <c r="B31" i="6"/>
  <c r="F249" i="13" l="1"/>
  <c r="G257" i="13"/>
  <c r="D258" i="13"/>
  <c r="C250" i="13"/>
  <c r="D250" i="13" s="1"/>
  <c r="I6" i="24" l="1"/>
  <c r="Q18" i="2" s="1"/>
  <c r="N31" i="2"/>
  <c r="I17" i="24"/>
  <c r="Q31" i="2" s="1"/>
  <c r="K31" i="2"/>
  <c r="F17" i="24"/>
  <c r="C6" i="24"/>
  <c r="K18" i="2" s="1"/>
  <c r="F6" i="24"/>
  <c r="N18" i="2"/>
  <c r="C17" i="24"/>
  <c r="B251" i="13"/>
  <c r="E250" i="13"/>
  <c r="F250" i="13" s="1"/>
  <c r="G258" i="13"/>
  <c r="E258" i="13"/>
  <c r="C259" i="13"/>
  <c r="B260" i="13" s="1"/>
  <c r="G250" i="13"/>
  <c r="F258" i="13" l="1"/>
  <c r="D259" i="13"/>
  <c r="C251" i="13"/>
  <c r="E251" i="13" s="1"/>
  <c r="D251" i="13" l="1"/>
  <c r="F251" i="13" s="1"/>
  <c r="E259" i="13"/>
  <c r="F259" i="13" s="1"/>
  <c r="C260" i="13"/>
  <c r="B261" i="13" s="1"/>
  <c r="E252" i="13"/>
  <c r="G259" i="13" l="1"/>
  <c r="D260" i="13"/>
  <c r="G260" i="13" l="1"/>
  <c r="E260" i="13"/>
  <c r="F252" i="13"/>
  <c r="D252" i="13"/>
  <c r="G202" i="13" s="1"/>
  <c r="G251" i="13"/>
  <c r="C261" i="13"/>
  <c r="B262" i="13" s="1"/>
  <c r="F260" i="13" l="1"/>
  <c r="G252" i="13"/>
  <c r="D261" i="13"/>
  <c r="G261" i="13" l="1"/>
  <c r="E261" i="13"/>
  <c r="H202" i="13"/>
  <c r="H204" i="13"/>
  <c r="H212" i="13"/>
  <c r="H220" i="13"/>
  <c r="H228" i="13"/>
  <c r="H236" i="13"/>
  <c r="H244" i="13"/>
  <c r="H205" i="13"/>
  <c r="H213" i="13"/>
  <c r="H221" i="13"/>
  <c r="H229" i="13"/>
  <c r="H237" i="13"/>
  <c r="H245" i="13"/>
  <c r="H206" i="13"/>
  <c r="H214" i="13"/>
  <c r="H222" i="13"/>
  <c r="H230" i="13"/>
  <c r="H238" i="13"/>
  <c r="H246" i="13"/>
  <c r="H243" i="13"/>
  <c r="H207" i="13"/>
  <c r="H215" i="13"/>
  <c r="H223" i="13"/>
  <c r="H231" i="13"/>
  <c r="H239" i="13"/>
  <c r="H247" i="13"/>
  <c r="H217" i="13"/>
  <c r="H233" i="13"/>
  <c r="H249" i="13"/>
  <c r="H226" i="13"/>
  <c r="H250" i="13"/>
  <c r="H211" i="13"/>
  <c r="H219" i="13"/>
  <c r="H235" i="13"/>
  <c r="H251" i="13"/>
  <c r="H208" i="13"/>
  <c r="H216" i="13"/>
  <c r="H224" i="13"/>
  <c r="H232" i="13"/>
  <c r="H240" i="13"/>
  <c r="H248" i="13"/>
  <c r="H209" i="13"/>
  <c r="H225" i="13"/>
  <c r="H241" i="13"/>
  <c r="H210" i="13"/>
  <c r="H218" i="13"/>
  <c r="H234" i="13"/>
  <c r="H242" i="13"/>
  <c r="H203" i="13"/>
  <c r="H227" i="13"/>
  <c r="C262" i="13"/>
  <c r="B263" i="13" s="1"/>
  <c r="F261" i="13" l="1"/>
  <c r="D262" i="13"/>
  <c r="G262" i="13" l="1"/>
  <c r="E262" i="13"/>
  <c r="C263" i="13"/>
  <c r="B264" i="13" s="1"/>
  <c r="F262" i="13" l="1"/>
  <c r="D263" i="13"/>
  <c r="E263" i="13" l="1"/>
  <c r="F263" i="13" s="1"/>
  <c r="C264" i="13"/>
  <c r="B265" i="13" s="1"/>
  <c r="G263" i="13" l="1"/>
  <c r="D264" i="13"/>
  <c r="G264" i="13" l="1"/>
  <c r="E264" i="13"/>
  <c r="C265" i="13"/>
  <c r="B266" i="13" s="1"/>
  <c r="F264" i="13" l="1"/>
  <c r="D265" i="13" l="1"/>
  <c r="G265" i="13" s="1"/>
  <c r="C266" i="13"/>
  <c r="B267" i="13" s="1"/>
  <c r="E265" i="13" l="1"/>
  <c r="F265" i="13" s="1"/>
  <c r="D266" i="13"/>
  <c r="E266" i="13" l="1"/>
  <c r="F266" i="13" s="1"/>
  <c r="G266" i="13"/>
  <c r="C267" i="13"/>
  <c r="B268" i="13" s="1"/>
  <c r="D267" i="13" l="1"/>
  <c r="G267" i="13" l="1"/>
  <c r="E267" i="13"/>
  <c r="C268" i="13"/>
  <c r="B269" i="13" s="1"/>
  <c r="F267" i="13" l="1"/>
  <c r="D268" i="13" l="1"/>
  <c r="G268" i="13" s="1"/>
  <c r="C269" i="13"/>
  <c r="B270" i="13" s="1"/>
  <c r="E268" i="13" l="1"/>
  <c r="F268" i="13" s="1"/>
  <c r="D269" i="13" l="1"/>
  <c r="G269" i="13" s="1"/>
  <c r="C270" i="13"/>
  <c r="B271" i="13" s="1"/>
  <c r="E269" i="13" l="1"/>
  <c r="F269" i="13" s="1"/>
  <c r="D270" i="13"/>
  <c r="E270" i="13" l="1"/>
  <c r="F270" i="13" s="1"/>
  <c r="C271" i="13"/>
  <c r="B272" i="13" s="1"/>
  <c r="G270" i="13" l="1"/>
  <c r="D271" i="13" l="1"/>
  <c r="G271" i="13" s="1"/>
  <c r="C272" i="13"/>
  <c r="B273" i="13" s="1"/>
  <c r="E271" i="13" l="1"/>
  <c r="F271" i="13" s="1"/>
  <c r="D272" i="13"/>
  <c r="E272" i="13" l="1"/>
  <c r="F272" i="13" s="1"/>
  <c r="C273" i="13"/>
  <c r="B274" i="13" s="1"/>
  <c r="G272" i="13" l="1"/>
  <c r="D273" i="13" l="1"/>
  <c r="G273" i="13" s="1"/>
  <c r="C274" i="13"/>
  <c r="B275" i="13" s="1"/>
  <c r="E273" i="13" l="1"/>
  <c r="F273" i="13" s="1"/>
  <c r="D274" i="13"/>
  <c r="E274" i="13" l="1"/>
  <c r="F274" i="13" s="1"/>
  <c r="C275" i="13"/>
  <c r="B276" i="13" s="1"/>
  <c r="G274" i="13" l="1"/>
  <c r="D275" i="13" l="1"/>
  <c r="G275" i="13" s="1"/>
  <c r="C276" i="13"/>
  <c r="B277" i="13" s="1"/>
  <c r="E275" i="13" l="1"/>
  <c r="F275" i="13" s="1"/>
  <c r="D276" i="13"/>
  <c r="E276" i="13" l="1"/>
  <c r="F276" i="13" s="1"/>
  <c r="C277" i="13"/>
  <c r="B278" i="13" s="1"/>
  <c r="G276" i="13" l="1"/>
  <c r="D277" i="13"/>
  <c r="E277" i="13" l="1"/>
  <c r="F277" i="13" s="1"/>
  <c r="C278" i="13"/>
  <c r="B279" i="13" s="1"/>
  <c r="G277" i="13" l="1"/>
  <c r="D278" i="13" l="1"/>
  <c r="G278" i="13" s="1"/>
  <c r="C279" i="13"/>
  <c r="B280" i="13" s="1"/>
  <c r="E278" i="13" l="1"/>
  <c r="F278" i="13" s="1"/>
  <c r="D279" i="13"/>
  <c r="G279" i="13" l="1"/>
  <c r="E279" i="13"/>
  <c r="C280" i="13"/>
  <c r="B281" i="13" s="1"/>
  <c r="F279" i="13" l="1"/>
  <c r="D280" i="13" l="1"/>
  <c r="G280" i="13" s="1"/>
  <c r="C281" i="13"/>
  <c r="B282" i="13" s="1"/>
  <c r="E280" i="13" l="1"/>
  <c r="F280" i="13" s="1"/>
  <c r="D281" i="13"/>
  <c r="E281" i="13" l="1"/>
  <c r="F281" i="13" s="1"/>
  <c r="G281" i="13"/>
  <c r="C282" i="13"/>
  <c r="B283" i="13" s="1"/>
  <c r="D282" i="13" l="1"/>
  <c r="G282" i="13" l="1"/>
  <c r="E282" i="13"/>
  <c r="C283" i="13"/>
  <c r="B284" i="13" s="1"/>
  <c r="F282" i="13" l="1"/>
  <c r="D283" i="13" l="1"/>
  <c r="G283" i="13" s="1"/>
  <c r="C284" i="13"/>
  <c r="B285" i="13" s="1"/>
  <c r="E283" i="13" l="1"/>
  <c r="F283" i="13" s="1"/>
  <c r="D284" i="13"/>
  <c r="E284" i="13" l="1"/>
  <c r="G284" i="13"/>
  <c r="C285" i="13"/>
  <c r="B286" i="13" s="1"/>
  <c r="F284" i="13" l="1"/>
  <c r="D285" i="13" l="1"/>
  <c r="G285" i="13" s="1"/>
  <c r="C286" i="13"/>
  <c r="B287" i="13" s="1"/>
  <c r="E285" i="13" l="1"/>
  <c r="F285" i="13" s="1"/>
  <c r="D286" i="13"/>
  <c r="G286" i="13" l="1"/>
  <c r="E286" i="13"/>
  <c r="C287" i="13"/>
  <c r="B288" i="13" s="1"/>
  <c r="F286" i="13" l="1"/>
  <c r="D287" i="13" l="1"/>
  <c r="G287" i="13" s="1"/>
  <c r="C288" i="13"/>
  <c r="B289" i="13" s="1"/>
  <c r="E287" i="13" l="1"/>
  <c r="F287" i="13" s="1"/>
  <c r="D288" i="13"/>
  <c r="G288" i="13" l="1"/>
  <c r="E288" i="13"/>
  <c r="C289" i="13"/>
  <c r="B290" i="13" s="1"/>
  <c r="F288" i="13" l="1"/>
  <c r="D289" i="13"/>
  <c r="E289" i="13" l="1"/>
  <c r="F289" i="13" s="1"/>
  <c r="C290" i="13"/>
  <c r="B291" i="13" s="1"/>
  <c r="G289" i="13" l="1"/>
  <c r="D290" i="13"/>
  <c r="G290" i="13" l="1"/>
  <c r="E290" i="13"/>
  <c r="C291" i="13"/>
  <c r="B292" i="13" s="1"/>
  <c r="F290" i="13" l="1"/>
  <c r="D291" i="13"/>
  <c r="G291" i="13" l="1"/>
  <c r="E291" i="13"/>
  <c r="C292" i="13"/>
  <c r="B293" i="13" s="1"/>
  <c r="F291" i="13" l="1"/>
  <c r="D292" i="13" l="1"/>
  <c r="E292" i="13" s="1"/>
  <c r="C293" i="13"/>
  <c r="B294" i="13" s="1"/>
  <c r="G292" i="13" l="1"/>
  <c r="F292" i="13"/>
  <c r="D293" i="13"/>
  <c r="G293" i="13" l="1"/>
  <c r="E293" i="13"/>
  <c r="C294" i="13"/>
  <c r="B295" i="13" s="1"/>
  <c r="F293" i="13" l="1"/>
  <c r="D294" i="13"/>
  <c r="E294" i="13" l="1"/>
  <c r="F294" i="13" s="1"/>
  <c r="C295" i="13"/>
  <c r="B296" i="13" s="1"/>
  <c r="G294" i="13" l="1"/>
  <c r="D295" i="13" l="1"/>
  <c r="E295" i="13" s="1"/>
  <c r="C296" i="13"/>
  <c r="B297" i="13" s="1"/>
  <c r="G295" i="13" l="1"/>
  <c r="F295" i="13"/>
  <c r="D296" i="13" l="1"/>
  <c r="G296" i="13" s="1"/>
  <c r="C297" i="13"/>
  <c r="B298" i="13" s="1"/>
  <c r="E296" i="13" l="1"/>
  <c r="F296" i="13" s="1"/>
  <c r="D297" i="13" l="1"/>
  <c r="E297" i="13" s="1"/>
  <c r="F297" i="13" s="1"/>
  <c r="C298" i="13"/>
  <c r="B299" i="13" s="1"/>
  <c r="G297" i="13" l="1"/>
  <c r="D298" i="13"/>
  <c r="E298" i="13" l="1"/>
  <c r="F298" i="13" s="1"/>
  <c r="C299" i="13"/>
  <c r="B300" i="13" s="1"/>
  <c r="G298" i="13"/>
  <c r="D299" i="13" l="1"/>
  <c r="E299" i="13"/>
  <c r="C300" i="13"/>
  <c r="B301" i="13" s="1"/>
  <c r="F299" i="13" l="1"/>
  <c r="G299" i="13"/>
  <c r="D300" i="13" l="1"/>
  <c r="G300" i="13" s="1"/>
  <c r="C301" i="13"/>
  <c r="B302" i="13" s="1"/>
  <c r="E300" i="13" l="1"/>
  <c r="F300" i="13" s="1"/>
  <c r="D301" i="13" l="1"/>
  <c r="G301" i="13" s="1"/>
  <c r="C302" i="13"/>
  <c r="B303" i="13" s="1"/>
  <c r="E301" i="13" l="1"/>
  <c r="F301" i="13" s="1"/>
  <c r="D302" i="13" l="1"/>
  <c r="E302" i="13" s="1"/>
  <c r="F302" i="13" s="1"/>
  <c r="C303" i="13"/>
  <c r="B304" i="13" s="1"/>
  <c r="G302" i="13" l="1"/>
  <c r="D303" i="13" l="1"/>
  <c r="E303" i="13" s="1"/>
  <c r="C304" i="13"/>
  <c r="G303" i="13" l="1"/>
  <c r="F303" i="13"/>
  <c r="D304" i="13" l="1"/>
  <c r="E304" i="13" s="1"/>
  <c r="E305" i="13" s="1"/>
  <c r="G304" i="13" l="1"/>
  <c r="F304" i="13"/>
  <c r="F305" i="13" s="1"/>
  <c r="D305" i="13"/>
  <c r="G255" i="13" s="1"/>
  <c r="H304" i="13" l="1"/>
  <c r="G305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</calcChain>
</file>

<file path=xl/sharedStrings.xml><?xml version="1.0" encoding="utf-8"?>
<sst xmlns="http://schemas.openxmlformats.org/spreadsheetml/2006/main" count="601" uniqueCount="178">
  <si>
    <t>Dashboard</t>
  </si>
  <si>
    <t>DCF</t>
  </si>
  <si>
    <t>CapEx &amp; Dep</t>
  </si>
  <si>
    <t>Financing</t>
  </si>
  <si>
    <t>Grader's Guide</t>
  </si>
  <si>
    <t>Back to Index</t>
  </si>
  <si>
    <t xml:space="preserve"> </t>
  </si>
  <si>
    <t>Timeline</t>
  </si>
  <si>
    <t>Value Drivers</t>
  </si>
  <si>
    <t>Mean</t>
  </si>
  <si>
    <t>Median</t>
  </si>
  <si>
    <t>Standard Deviation</t>
  </si>
  <si>
    <t>Minimum</t>
  </si>
  <si>
    <t>Maximum</t>
  </si>
  <si>
    <t>South Asia</t>
  </si>
  <si>
    <t>Expected adjustment to worldwide revenue</t>
  </si>
  <si>
    <t>NWC</t>
  </si>
  <si>
    <t>CapEx</t>
  </si>
  <si>
    <t>Depreciation</t>
  </si>
  <si>
    <t>Salvage value</t>
  </si>
  <si>
    <t>Tax rate</t>
  </si>
  <si>
    <t>Depreciation (straight line)</t>
  </si>
  <si>
    <t>Useful life (years)</t>
  </si>
  <si>
    <t>Revenue</t>
  </si>
  <si>
    <t>Production Costs</t>
  </si>
  <si>
    <t>Interest rate (% per year)</t>
  </si>
  <si>
    <t>Loan period (in years)</t>
  </si>
  <si>
    <t>Principal amount</t>
  </si>
  <si>
    <t>Beginning principal</t>
  </si>
  <si>
    <t>Interest paid</t>
  </si>
  <si>
    <t>Interest tax shield</t>
  </si>
  <si>
    <t>Principal repayment</t>
  </si>
  <si>
    <t>Net financing flows</t>
  </si>
  <si>
    <t>XNPV of Financing</t>
  </si>
  <si>
    <t>Random Log-Normal</t>
  </si>
  <si>
    <t>Financing Netflix</t>
  </si>
  <si>
    <t>Model: DCF of Financing Flows</t>
  </si>
  <si>
    <t>Max</t>
  </si>
  <si>
    <t>Log-Normal simulation:</t>
  </si>
  <si>
    <t>Uniform(0,1)</t>
  </si>
  <si>
    <t>M_adjusted</t>
  </si>
  <si>
    <t>S_adjusted</t>
  </si>
  <si>
    <t>Min</t>
  </si>
  <si>
    <t>Descriptive Statistics of worldwide revenue in film and television</t>
  </si>
  <si>
    <t>Descriptive statistics of production cost in North America region</t>
  </si>
  <si>
    <t>Europe &amp; Central Asia</t>
  </si>
  <si>
    <t>Adjustments</t>
  </si>
  <si>
    <t>Source</t>
  </si>
  <si>
    <t>1%*Simulation!G5</t>
  </si>
  <si>
    <t>2%*Simulation!G5</t>
  </si>
  <si>
    <t>2%*Simulation!H5</t>
  </si>
  <si>
    <t>2%*Simulation!I5</t>
  </si>
  <si>
    <t>Net working capital 2025</t>
  </si>
  <si>
    <t>Net working capital 2026</t>
  </si>
  <si>
    <t>Net working capital 2027</t>
  </si>
  <si>
    <t>Initial CapEx 2025</t>
  </si>
  <si>
    <t>Age at resale</t>
  </si>
  <si>
    <t>Book value at resale</t>
  </si>
  <si>
    <t>Given</t>
  </si>
  <si>
    <t>SLN(B5,B11,B10)</t>
  </si>
  <si>
    <t>B13*B12</t>
  </si>
  <si>
    <t>Total Marketing Expenditures</t>
  </si>
  <si>
    <t>SUM(B4:B7)</t>
  </si>
  <si>
    <t>Tax Rate</t>
  </si>
  <si>
    <t>Payment</t>
  </si>
  <si>
    <t>Ending balance</t>
  </si>
  <si>
    <t>CapEx &amp; Depreciation'!B4*110%</t>
  </si>
  <si>
    <t>DCF!$B$13</t>
  </si>
  <si>
    <t>&lt;=XNPV(B3,B19:AG19,B13:AG13)</t>
  </si>
  <si>
    <t>&lt;=-PMT(B4,B5,B6)</t>
  </si>
  <si>
    <t>'CapEx &amp; Depreciation'!E19</t>
  </si>
  <si>
    <t>EBIT</t>
  </si>
  <si>
    <t>Taxes</t>
  </si>
  <si>
    <t>Change in NWC</t>
  </si>
  <si>
    <t>Net Operating Income</t>
  </si>
  <si>
    <t>XNPV (Operating)</t>
  </si>
  <si>
    <t>Spartan Venture Cost of Equity</t>
  </si>
  <si>
    <t>Unlevered Operating Free Cash Flow</t>
  </si>
  <si>
    <t>XNPV from Operating</t>
  </si>
  <si>
    <t>XNPV from Financing</t>
  </si>
  <si>
    <t>APV</t>
  </si>
  <si>
    <t>Netflix Cost of Equity</t>
  </si>
  <si>
    <t>XNPV(B14,B29:H29,B18:H18)</t>
  </si>
  <si>
    <t>C19-C20-C21</t>
  </si>
  <si>
    <t>C22*$B$12</t>
  </si>
  <si>
    <t>C22-C23</t>
  </si>
  <si>
    <t>'CapEx &amp; Depreciation'!C19</t>
  </si>
  <si>
    <t>'CapEx &amp; Depreciation'!C17</t>
  </si>
  <si>
    <t>C27-B27</t>
  </si>
  <si>
    <t>C24+C25+C26-C28</t>
  </si>
  <si>
    <t>B30</t>
  </si>
  <si>
    <t>Financing!B20</t>
  </si>
  <si>
    <t>B33+B34</t>
  </si>
  <si>
    <t>Weighted Average Cost of Equity</t>
  </si>
  <si>
    <t>Principal Penalty</t>
  </si>
  <si>
    <t>Region</t>
  </si>
  <si>
    <t xml:space="preserve">T-bill </t>
  </si>
  <si>
    <t>Uniform simulation</t>
  </si>
  <si>
    <t>Uniform (0,1)</t>
  </si>
  <si>
    <t>Random Uniform</t>
  </si>
  <si>
    <t>Bin Number</t>
  </si>
  <si>
    <t>Number of Observations</t>
  </si>
  <si>
    <t>Simulated XNPV (Operating)</t>
  </si>
  <si>
    <t>Risky</t>
  </si>
  <si>
    <t>Probability</t>
  </si>
  <si>
    <t>Cumulative Probability</t>
  </si>
  <si>
    <t>Histogram</t>
  </si>
  <si>
    <t>DCF!B25</t>
  </si>
  <si>
    <t>Data!$C$3</t>
  </si>
  <si>
    <t>Data!$C$5</t>
  </si>
  <si>
    <t>RAND()</t>
  </si>
  <si>
    <t>LN( (F4^2) /SQRT( (F4^2)+(F5^2) ) )</t>
  </si>
  <si>
    <t>SQRT( LN( 1 + ( (F5^2) / (F4^2) ) ) )</t>
  </si>
  <si>
    <t>LOGNORM.INV(F8,F9,F10)</t>
  </si>
  <si>
    <t>Data!$C$10</t>
  </si>
  <si>
    <t>Data!$C$12</t>
  </si>
  <si>
    <t>LN( (C13^2) /SQRT( (C13^2)+(C14^2) ) )</t>
  </si>
  <si>
    <t>SQRT( LN( 1 + ( (C14^2) / (C13^2) ) ) )</t>
  </si>
  <si>
    <t>LOGNORM.INV(C17,C18,C19)</t>
  </si>
  <si>
    <t>VLOOKUP(Dashboard!A4,Data!A23:D24,3)</t>
  </si>
  <si>
    <t>VLOOKUP(Dashboard!A4,Data!A23:D24,4)</t>
  </si>
  <si>
    <t>F23+F26*(F24-F23)</t>
  </si>
  <si>
    <t>C30+C33*(C31-C30)</t>
  </si>
  <si>
    <t>B142</t>
  </si>
  <si>
    <t>B151+$B$145</t>
  </si>
  <si>
    <t>COUNTIFS($B$40:$B$139,CONCATENATE("&gt;=",B151),$B$40:$B$139,CONCATENATE("&lt;",C151))</t>
  </si>
  <si>
    <t>IF(B151&lt;$B$147,C151,0)</t>
  </si>
  <si>
    <t>IF(E151=0,D151,0)</t>
  </si>
  <si>
    <t>D151/$B$146</t>
  </si>
  <si>
    <t>SUM($D$151:D151)/$B$146</t>
  </si>
  <si>
    <t>'CapEx &amp; Depreciation'!B5</t>
  </si>
  <si>
    <t>110%*B5</t>
  </si>
  <si>
    <t>Spartan Ventures and Netflix Expansion</t>
  </si>
  <si>
    <t>XNPV</t>
  </si>
  <si>
    <t>Investment Valuation</t>
  </si>
  <si>
    <t>Comparable Yield</t>
  </si>
  <si>
    <t>Interest Rate</t>
  </si>
  <si>
    <t>Recommendation</t>
  </si>
  <si>
    <t>Profitable</t>
  </si>
  <si>
    <t>Data Table</t>
  </si>
  <si>
    <t>T-Bill</t>
  </si>
  <si>
    <t>Project APV</t>
  </si>
  <si>
    <t>(1+Simulation!F27)*Data!$C$3</t>
  </si>
  <si>
    <t>(1+Simulation!C34)*Data!$C$10</t>
  </si>
  <si>
    <t>INDEX(Data!$C$18:$C$19,MATCH(Dashboard!$A$4,Data!$A$23:$A$24))</t>
  </si>
  <si>
    <t>INDEX(Data!$D$18:$D$19,MATCH(Dashboard!$A$4,Data!$A$18:$A$19))</t>
  </si>
  <si>
    <t>7 year T-Bill 11/29/2022</t>
  </si>
  <si>
    <t>AVERAGE(B8,B10)</t>
  </si>
  <si>
    <t>Expected adjustment to production cost fore regions outside NA</t>
  </si>
  <si>
    <t>Simulation</t>
  </si>
  <si>
    <t>Data</t>
  </si>
  <si>
    <r>
      <t xml:space="preserve">Value drivers: Capital Expenditure and Depreciation </t>
    </r>
    <r>
      <rPr>
        <b/>
        <sz val="11"/>
        <color theme="0"/>
        <rFont val="Calibri"/>
        <family val="2"/>
        <scheme val="minor"/>
      </rPr>
      <t>-This region contains value drivers for Capital Expenditure and Depreciation.</t>
    </r>
  </si>
  <si>
    <t>Select Region</t>
  </si>
  <si>
    <t>ID Sheet</t>
  </si>
  <si>
    <t xml:space="preserve">100 Runs </t>
  </si>
  <si>
    <t xml:space="preserve">Number of Bins </t>
  </si>
  <si>
    <t xml:space="preserve">Range of Each Bin </t>
  </si>
  <si>
    <t xml:space="preserve">Number of Observations </t>
  </si>
  <si>
    <t xml:space="preserve">Cutoff Point </t>
  </si>
  <si>
    <t>Lower</t>
  </si>
  <si>
    <t>Upper</t>
  </si>
  <si>
    <t>Sensitivity Analysis</t>
  </si>
  <si>
    <t>Independent Variables</t>
  </si>
  <si>
    <t>SUM</t>
  </si>
  <si>
    <t>DCF Static</t>
  </si>
  <si>
    <t>CapEx &amp; Dep Static</t>
  </si>
  <si>
    <t>Financing Static</t>
  </si>
  <si>
    <t>Simulated XNPV A</t>
  </si>
  <si>
    <t>Simulated XNPV  B</t>
  </si>
  <si>
    <t>Non-Risky</t>
  </si>
  <si>
    <t>North America</t>
  </si>
  <si>
    <t>Cost</t>
  </si>
  <si>
    <t>100 Simulations</t>
  </si>
  <si>
    <t>Revenue Adjustment</t>
  </si>
  <si>
    <t>Cost Adjustment</t>
  </si>
  <si>
    <t>T-bill (7-year)</t>
  </si>
  <si>
    <t>NFLX Cost of Equity</t>
  </si>
  <si>
    <t>Value drivers: Capital Expenditure and Depreciation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</si>
</sst>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-* #,##0_-;\(#,##0\)_-;_-* &quot;-&quot;_-;_-@_-"/>
    <numFmt numFmtId="166" formatCode="_-* #,##0.00_-;\(#,##0.00\)_-;_-* &quot;-&quot;_-;_-@_-"/>
    <numFmt numFmtId="167" formatCode="0.000%"/>
    <numFmt numFmtId="168" formatCode="[$€-2]\ #,##0.00;[Red]\-[$€-2]\ #,##0.00"/>
    <numFmt numFmtId="169" formatCode="#,##0.00\ [$€-1];[Red]\-#,##0.00\ [$€-1]"/>
    <numFmt numFmtId="170" formatCode="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i/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u/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20"/>
      <color theme="6" tint="0.59999389629810485"/>
      <name val="Calibri Light"/>
      <family val="2"/>
      <scheme val="major"/>
    </font>
    <font>
      <sz val="18"/>
      <color rgb="FF00B050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b/>
      <sz val="18"/>
      <color theme="0"/>
      <name val="Calibri Light"/>
      <family val="2"/>
      <scheme val="major"/>
    </font>
    <font>
      <b/>
      <sz val="18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b/>
      <sz val="20"/>
      <color rgb="FFCC66FF"/>
      <name val="Calibri Light"/>
      <family val="2"/>
      <scheme val="major"/>
    </font>
    <font>
      <sz val="11"/>
      <color rgb="FF333333"/>
      <name val="Calibri"/>
      <family val="2"/>
      <scheme val="minor"/>
    </font>
    <font>
      <sz val="11"/>
      <color rgb="FF444444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  <xf numFmtId="44" fontId="1" fillId="0" borderId="0" applyFont="0" applyFill="0" applyBorder="0" applyAlignment="0" applyProtection="0"/>
    <xf numFmtId="0" fontId="1" fillId="0" borderId="0"/>
    <xf numFmtId="0" fontId="23" fillId="0" borderId="0" applyNumberFormat="0" applyFill="0" applyBorder="0" applyAlignment="0" applyProtection="0"/>
  </cellStyleXfs>
  <cellXfs count="321">
    <xf numFmtId="0" fontId="0" fillId="0" borderId="0" xfId="0"/>
    <xf numFmtId="0" fontId="5" fillId="0" borderId="0" xfId="8"/>
    <xf numFmtId="0" fontId="5" fillId="0" borderId="0" xfId="8" quotePrefix="1"/>
    <xf numFmtId="0" fontId="7" fillId="0" borderId="0" xfId="12" applyFont="1" applyAlignment="1">
      <alignment horizontal="left"/>
    </xf>
    <xf numFmtId="165" fontId="8" fillId="0" borderId="0" xfId="1" applyNumberFormat="1" applyFont="1" applyFill="1" applyBorder="1"/>
    <xf numFmtId="0" fontId="10" fillId="0" borderId="0" xfId="0" applyFont="1"/>
    <xf numFmtId="0" fontId="12" fillId="0" borderId="0" xfId="0" applyFont="1"/>
    <xf numFmtId="44" fontId="11" fillId="0" borderId="0" xfId="11" applyFont="1" applyFill="1"/>
    <xf numFmtId="0" fontId="7" fillId="0" borderId="0" xfId="0" applyFont="1" applyAlignment="1">
      <alignment horizontal="right"/>
    </xf>
    <xf numFmtId="44" fontId="7" fillId="0" borderId="0" xfId="11" applyFont="1" applyBorder="1"/>
    <xf numFmtId="44" fontId="7" fillId="4" borderId="0" xfId="11" applyFont="1" applyFill="1" applyBorder="1"/>
    <xf numFmtId="44" fontId="10" fillId="0" borderId="0" xfId="11" applyFont="1" applyBorder="1"/>
    <xf numFmtId="0" fontId="13" fillId="0" borderId="0" xfId="2" applyNumberFormat="1" applyFont="1" applyFill="1" applyBorder="1"/>
    <xf numFmtId="0" fontId="13" fillId="0" borderId="0" xfId="1" applyNumberFormat="1" applyFont="1" applyFill="1" applyBorder="1"/>
    <xf numFmtId="164" fontId="13" fillId="0" borderId="0" xfId="1" applyNumberFormat="1" applyFont="1" applyFill="1" applyBorder="1"/>
    <xf numFmtId="3" fontId="13" fillId="0" borderId="0" xfId="0" applyNumberFormat="1" applyFont="1"/>
    <xf numFmtId="9" fontId="13" fillId="0" borderId="0" xfId="2" applyFont="1" applyFill="1"/>
    <xf numFmtId="10" fontId="13" fillId="0" borderId="0" xfId="2" applyNumberFormat="1" applyFont="1" applyFill="1" applyBorder="1"/>
    <xf numFmtId="43" fontId="13" fillId="0" borderId="0" xfId="1" applyFont="1" applyFill="1" applyBorder="1"/>
    <xf numFmtId="0" fontId="13" fillId="0" borderId="0" xfId="0" applyFont="1"/>
    <xf numFmtId="0" fontId="13" fillId="0" borderId="0" xfId="0" applyFont="1" applyAlignment="1">
      <alignment horizontal="right"/>
    </xf>
    <xf numFmtId="0" fontId="12" fillId="0" borderId="8" xfId="0" applyFont="1" applyBorder="1"/>
    <xf numFmtId="0" fontId="10" fillId="0" borderId="10" xfId="0" applyFont="1" applyBorder="1"/>
    <xf numFmtId="0" fontId="10" fillId="0" borderId="10" xfId="0" quotePrefix="1" applyFont="1" applyBorder="1"/>
    <xf numFmtId="8" fontId="10" fillId="0" borderId="10" xfId="0" applyNumberFormat="1" applyFont="1" applyBorder="1"/>
    <xf numFmtId="0" fontId="10" fillId="0" borderId="12" xfId="0" applyFont="1" applyBorder="1"/>
    <xf numFmtId="44" fontId="7" fillId="0" borderId="14" xfId="11" applyFont="1" applyBorder="1"/>
    <xf numFmtId="44" fontId="7" fillId="0" borderId="3" xfId="11" applyFont="1" applyBorder="1"/>
    <xf numFmtId="0" fontId="10" fillId="0" borderId="0" xfId="0" applyFont="1" applyAlignment="1">
      <alignment wrapText="1"/>
    </xf>
    <xf numFmtId="0" fontId="7" fillId="0" borderId="8" xfId="12" applyFont="1" applyBorder="1" applyAlignment="1">
      <alignment horizontal="left"/>
    </xf>
    <xf numFmtId="0" fontId="7" fillId="0" borderId="14" xfId="12" applyFont="1" applyBorder="1" applyAlignment="1">
      <alignment horizontal="left"/>
    </xf>
    <xf numFmtId="0" fontId="1" fillId="0" borderId="8" xfId="1" applyNumberFormat="1" applyFont="1" applyBorder="1" applyAlignment="1">
      <alignment horizontal="right"/>
    </xf>
    <xf numFmtId="165" fontId="1" fillId="0" borderId="14" xfId="1" applyNumberFormat="1" applyFont="1" applyBorder="1"/>
    <xf numFmtId="0" fontId="1" fillId="0" borderId="12" xfId="1" applyNumberFormat="1" applyFont="1" applyBorder="1" applyAlignment="1">
      <alignment horizontal="right"/>
    </xf>
    <xf numFmtId="165" fontId="9" fillId="0" borderId="7" xfId="1" applyNumberFormat="1" applyFont="1" applyBorder="1"/>
    <xf numFmtId="165" fontId="1" fillId="0" borderId="7" xfId="1" applyNumberFormat="1" applyFont="1" applyBorder="1"/>
    <xf numFmtId="0" fontId="10" fillId="0" borderId="16" xfId="0" applyFont="1" applyBorder="1"/>
    <xf numFmtId="0" fontId="10" fillId="0" borderId="17" xfId="0" applyFont="1" applyBorder="1"/>
    <xf numFmtId="0" fontId="10" fillId="0" borderId="15" xfId="0" applyFont="1" applyBorder="1"/>
    <xf numFmtId="0" fontId="7" fillId="0" borderId="0" xfId="0" applyFont="1"/>
    <xf numFmtId="0" fontId="7" fillId="0" borderId="12" xfId="0" applyFont="1" applyBorder="1" applyAlignment="1">
      <alignment horizontal="right"/>
    </xf>
    <xf numFmtId="44" fontId="8" fillId="0" borderId="3" xfId="11" applyFont="1" applyBorder="1"/>
    <xf numFmtId="0" fontId="7" fillId="0" borderId="3" xfId="0" applyFont="1" applyBorder="1" applyAlignment="1">
      <alignment horizontal="right"/>
    </xf>
    <xf numFmtId="0" fontId="12" fillId="0" borderId="17" xfId="0" applyFont="1" applyBorder="1"/>
    <xf numFmtId="0" fontId="12" fillId="0" borderId="15" xfId="0" applyFont="1" applyBorder="1"/>
    <xf numFmtId="170" fontId="7" fillId="0" borderId="0" xfId="11" applyNumberFormat="1" applyFont="1" applyBorder="1"/>
    <xf numFmtId="0" fontId="8" fillId="0" borderId="0" xfId="2" applyNumberFormat="1" applyFont="1" applyFill="1" applyBorder="1"/>
    <xf numFmtId="10" fontId="13" fillId="0" borderId="0" xfId="1" applyNumberFormat="1" applyFont="1" applyFill="1" applyBorder="1"/>
    <xf numFmtId="44" fontId="13" fillId="0" borderId="0" xfId="2" applyNumberFormat="1" applyFont="1" applyFill="1" applyBorder="1"/>
    <xf numFmtId="10" fontId="13" fillId="0" borderId="0" xfId="2" applyNumberFormat="1" applyFont="1" applyFill="1" applyBorder="1" applyAlignment="1"/>
    <xf numFmtId="44" fontId="13" fillId="0" borderId="0" xfId="11" applyFont="1" applyFill="1" applyBorder="1"/>
    <xf numFmtId="44" fontId="13" fillId="0" borderId="0" xfId="11" applyFont="1"/>
    <xf numFmtId="44" fontId="13" fillId="0" borderId="0" xfId="11" applyFont="1" applyFill="1" applyBorder="1" applyAlignment="1">
      <alignment horizontal="center"/>
    </xf>
    <xf numFmtId="44" fontId="13" fillId="5" borderId="0" xfId="11" applyFont="1" applyFill="1" applyBorder="1" applyAlignment="1">
      <alignment horizontal="center"/>
    </xf>
    <xf numFmtId="0" fontId="13" fillId="5" borderId="0" xfId="1" applyNumberFormat="1" applyFont="1" applyFill="1" applyBorder="1" applyAlignment="1">
      <alignment horizontal="center"/>
    </xf>
    <xf numFmtId="0" fontId="13" fillId="5" borderId="0" xfId="2" applyNumberFormat="1" applyFont="1" applyFill="1" applyBorder="1" applyAlignment="1">
      <alignment horizontal="center"/>
    </xf>
    <xf numFmtId="10" fontId="13" fillId="5" borderId="0" xfId="2" applyNumberFormat="1" applyFont="1" applyFill="1" applyBorder="1" applyAlignment="1">
      <alignment horizontal="center"/>
    </xf>
    <xf numFmtId="10" fontId="13" fillId="5" borderId="0" xfId="1" applyNumberFormat="1" applyFont="1" applyFill="1" applyBorder="1" applyAlignment="1">
      <alignment horizontal="center"/>
    </xf>
    <xf numFmtId="44" fontId="17" fillId="5" borderId="0" xfId="2" applyNumberFormat="1" applyFont="1" applyFill="1" applyBorder="1" applyAlignment="1">
      <alignment horizontal="center"/>
    </xf>
    <xf numFmtId="44" fontId="13" fillId="5" borderId="0" xfId="11" applyFont="1" applyFill="1" applyAlignment="1">
      <alignment horizontal="center"/>
    </xf>
    <xf numFmtId="3" fontId="1" fillId="0" borderId="14" xfId="0" applyNumberFormat="1" applyFont="1" applyBorder="1"/>
    <xf numFmtId="3" fontId="1" fillId="0" borderId="7" xfId="0" applyNumberFormat="1" applyFont="1" applyBorder="1"/>
    <xf numFmtId="14" fontId="18" fillId="0" borderId="14" xfId="4" applyNumberFormat="1" applyFont="1" applyFill="1" applyBorder="1" applyAlignment="1">
      <alignment horizontal="center"/>
    </xf>
    <xf numFmtId="14" fontId="18" fillId="0" borderId="7" xfId="4" applyNumberFormat="1" applyFont="1" applyFill="1" applyBorder="1" applyAlignment="1">
      <alignment horizontal="center"/>
    </xf>
    <xf numFmtId="10" fontId="1" fillId="0" borderId="14" xfId="2" applyNumberFormat="1" applyFont="1" applyFill="1" applyBorder="1"/>
    <xf numFmtId="43" fontId="1" fillId="0" borderId="0" xfId="1" applyFont="1" applyFill="1" applyBorder="1"/>
    <xf numFmtId="10" fontId="1" fillId="0" borderId="0" xfId="2" applyNumberFormat="1" applyFont="1" applyFill="1" applyBorder="1"/>
    <xf numFmtId="164" fontId="1" fillId="0" borderId="7" xfId="1" applyNumberFormat="1" applyFont="1" applyFill="1" applyBorder="1"/>
    <xf numFmtId="0" fontId="1" fillId="0" borderId="0" xfId="0" applyFont="1"/>
    <xf numFmtId="164" fontId="1" fillId="0" borderId="0" xfId="1" applyNumberFormat="1" applyFont="1" applyFill="1" applyBorder="1"/>
    <xf numFmtId="44" fontId="1" fillId="0" borderId="14" xfId="11" applyFont="1" applyBorder="1"/>
    <xf numFmtId="44" fontId="1" fillId="0" borderId="7" xfId="11" applyFont="1" applyBorder="1"/>
    <xf numFmtId="2" fontId="1" fillId="0" borderId="0" xfId="1" applyNumberFormat="1" applyFont="1" applyFill="1" applyBorder="1"/>
    <xf numFmtId="43" fontId="1" fillId="0" borderId="11" xfId="1" applyFont="1" applyFill="1" applyBorder="1"/>
    <xf numFmtId="10" fontId="1" fillId="0" borderId="11" xfId="2" applyNumberFormat="1" applyFont="1" applyFill="1" applyBorder="1"/>
    <xf numFmtId="0" fontId="1" fillId="0" borderId="14" xfId="0" applyFont="1" applyBorder="1"/>
    <xf numFmtId="10" fontId="1" fillId="0" borderId="0" xfId="0" applyNumberFormat="1" applyFont="1"/>
    <xf numFmtId="0" fontId="1" fillId="0" borderId="7" xfId="0" applyFont="1" applyBorder="1"/>
    <xf numFmtId="10" fontId="1" fillId="0" borderId="7" xfId="0" applyNumberFormat="1" applyFont="1" applyBorder="1"/>
    <xf numFmtId="2" fontId="1" fillId="0" borderId="0" xfId="2" applyNumberFormat="1" applyFont="1" applyBorder="1"/>
    <xf numFmtId="10" fontId="1" fillId="0" borderId="7" xfId="2" applyNumberFormat="1" applyFont="1" applyBorder="1"/>
    <xf numFmtId="0" fontId="1" fillId="0" borderId="9" xfId="0" applyFont="1" applyBorder="1"/>
    <xf numFmtId="10" fontId="1" fillId="0" borderId="11" xfId="0" applyNumberFormat="1" applyFont="1" applyBorder="1"/>
    <xf numFmtId="9" fontId="1" fillId="0" borderId="7" xfId="0" applyNumberFormat="1" applyFont="1" applyBorder="1"/>
    <xf numFmtId="10" fontId="1" fillId="0" borderId="13" xfId="0" applyNumberFormat="1" applyFont="1" applyBorder="1"/>
    <xf numFmtId="10" fontId="1" fillId="0" borderId="13" xfId="2" applyNumberFormat="1" applyFont="1" applyBorder="1"/>
    <xf numFmtId="0" fontId="1" fillId="0" borderId="6" xfId="0" applyFont="1" applyBorder="1"/>
    <xf numFmtId="44" fontId="1" fillId="0" borderId="5" xfId="11" applyFont="1" applyBorder="1"/>
    <xf numFmtId="0" fontId="8" fillId="0" borderId="0" xfId="1" applyNumberFormat="1" applyFont="1" applyFill="1" applyBorder="1"/>
    <xf numFmtId="14" fontId="18" fillId="0" borderId="0" xfId="4" applyNumberFormat="1" applyFont="1" applyFill="1" applyBorder="1"/>
    <xf numFmtId="14" fontId="18" fillId="0" borderId="0" xfId="4" applyNumberFormat="1" applyFont="1" applyFill="1" applyBorder="1" applyAlignment="1">
      <alignment horizontal="center"/>
    </xf>
    <xf numFmtId="165" fontId="18" fillId="2" borderId="0" xfId="1" applyNumberFormat="1" applyFont="1" applyFill="1" applyBorder="1"/>
    <xf numFmtId="0" fontId="1" fillId="0" borderId="5" xfId="0" applyFont="1" applyBorder="1" applyAlignment="1">
      <alignment horizontal="left"/>
    </xf>
    <xf numFmtId="167" fontId="1" fillId="0" borderId="6" xfId="0" applyNumberFormat="1" applyFont="1" applyBorder="1"/>
    <xf numFmtId="0" fontId="1" fillId="0" borderId="11" xfId="0" applyFont="1" applyBorder="1"/>
    <xf numFmtId="0" fontId="1" fillId="0" borderId="13" xfId="0" applyFont="1" applyBorder="1"/>
    <xf numFmtId="14" fontId="1" fillId="0" borderId="0" xfId="0" applyNumberFormat="1" applyFont="1"/>
    <xf numFmtId="0" fontId="1" fillId="0" borderId="0" xfId="0" applyFont="1" applyAlignment="1">
      <alignment horizontal="left"/>
    </xf>
    <xf numFmtId="44" fontId="1" fillId="0" borderId="0" xfId="11" applyFont="1"/>
    <xf numFmtId="170" fontId="1" fillId="0" borderId="0" xfId="11" applyNumberFormat="1" applyFont="1" applyBorder="1"/>
    <xf numFmtId="8" fontId="1" fillId="0" borderId="0" xfId="11" applyNumberFormat="1" applyFont="1"/>
    <xf numFmtId="44" fontId="1" fillId="0" borderId="0" xfId="11" applyFont="1" applyBorder="1"/>
    <xf numFmtId="0" fontId="19" fillId="0" borderId="0" xfId="8" applyFont="1"/>
    <xf numFmtId="0" fontId="14" fillId="0" borderId="5" xfId="4" applyFont="1" applyBorder="1"/>
    <xf numFmtId="0" fontId="1" fillId="0" borderId="6" xfId="5" applyFont="1" applyBorder="1"/>
    <xf numFmtId="0" fontId="1" fillId="0" borderId="5" xfId="5" applyFont="1" applyBorder="1" applyAlignment="1">
      <alignment horizontal="left"/>
    </xf>
    <xf numFmtId="44" fontId="1" fillId="0" borderId="6" xfId="11" applyFont="1" applyBorder="1" applyAlignment="1">
      <alignment horizontal="right"/>
    </xf>
    <xf numFmtId="8" fontId="1" fillId="0" borderId="6" xfId="2" applyNumberFormat="1" applyFont="1" applyBorder="1"/>
    <xf numFmtId="9" fontId="1" fillId="0" borderId="6" xfId="5" applyNumberFormat="1" applyFont="1" applyBorder="1"/>
    <xf numFmtId="0" fontId="20" fillId="0" borderId="4" xfId="0" applyFont="1" applyBorder="1"/>
    <xf numFmtId="0" fontId="20" fillId="0" borderId="0" xfId="0" applyFont="1"/>
    <xf numFmtId="165" fontId="18" fillId="2" borderId="7" xfId="1" applyNumberFormat="1" applyFont="1" applyFill="1" applyBorder="1"/>
    <xf numFmtId="14" fontId="18" fillId="2" borderId="7" xfId="4" applyNumberFormat="1" applyFont="1" applyFill="1" applyBorder="1"/>
    <xf numFmtId="14" fontId="18" fillId="2" borderId="7" xfId="4" applyNumberFormat="1" applyFont="1" applyFill="1" applyBorder="1" applyAlignment="1">
      <alignment horizontal="center"/>
    </xf>
    <xf numFmtId="170" fontId="21" fillId="0" borderId="0" xfId="0" applyNumberFormat="1" applyFont="1" applyAlignment="1">
      <alignment horizontal="center"/>
    </xf>
    <xf numFmtId="0" fontId="1" fillId="0" borderId="8" xfId="0" applyFont="1" applyBorder="1"/>
    <xf numFmtId="0" fontId="1" fillId="0" borderId="10" xfId="0" applyFont="1" applyBorder="1"/>
    <xf numFmtId="0" fontId="1" fillId="0" borderId="12" xfId="0" applyFont="1" applyBorder="1"/>
    <xf numFmtId="0" fontId="14" fillId="0" borderId="0" xfId="3" applyNumberFormat="1" applyFont="1" applyFill="1" applyBorder="1" applyAlignment="1"/>
    <xf numFmtId="14" fontId="18" fillId="2" borderId="0" xfId="4" applyNumberFormat="1" applyFont="1" applyFill="1" applyBorder="1" applyAlignment="1">
      <alignment horizontal="center"/>
    </xf>
    <xf numFmtId="14" fontId="15" fillId="0" borderId="0" xfId="4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5" fontId="8" fillId="0" borderId="7" xfId="1" applyNumberFormat="1" applyFont="1" applyFill="1" applyBorder="1"/>
    <xf numFmtId="14" fontId="18" fillId="2" borderId="0" xfId="4" applyNumberFormat="1" applyFont="1" applyFill="1" applyBorder="1"/>
    <xf numFmtId="44" fontId="1" fillId="0" borderId="0" xfId="0" applyNumberFormat="1" applyFont="1"/>
    <xf numFmtId="44" fontId="1" fillId="0" borderId="0" xfId="11" applyFont="1" applyAlignment="1"/>
    <xf numFmtId="44" fontId="13" fillId="0" borderId="0" xfId="4" applyNumberFormat="1" applyFont="1" applyFill="1" applyBorder="1"/>
    <xf numFmtId="0" fontId="13" fillId="0" borderId="0" xfId="0" applyFont="1" applyAlignment="1">
      <alignment horizontal="center"/>
    </xf>
    <xf numFmtId="9" fontId="13" fillId="0" borderId="0" xfId="0" applyNumberFormat="1" applyFont="1"/>
    <xf numFmtId="10" fontId="13" fillId="0" borderId="0" xfId="0" applyNumberFormat="1" applyFont="1"/>
    <xf numFmtId="0" fontId="10" fillId="0" borderId="0" xfId="0" applyFont="1" applyAlignment="1">
      <alignment horizontal="center"/>
    </xf>
    <xf numFmtId="165" fontId="1" fillId="0" borderId="0" xfId="1" applyNumberFormat="1" applyFont="1"/>
    <xf numFmtId="44" fontId="8" fillId="0" borderId="0" xfId="11" applyFont="1" applyFill="1" applyBorder="1"/>
    <xf numFmtId="44" fontId="13" fillId="0" borderId="0" xfId="11" applyFont="1" applyFill="1"/>
    <xf numFmtId="44" fontId="8" fillId="0" borderId="0" xfId="11" applyFont="1" applyFill="1" applyBorder="1" applyAlignment="1">
      <alignment horizontal="center"/>
    </xf>
    <xf numFmtId="0" fontId="13" fillId="0" borderId="0" xfId="1" applyNumberFormat="1" applyFont="1" applyFill="1" applyBorder="1" applyAlignment="1">
      <alignment horizontal="left"/>
    </xf>
    <xf numFmtId="44" fontId="13" fillId="0" borderId="7" xfId="11" applyFont="1" applyFill="1" applyBorder="1"/>
    <xf numFmtId="0" fontId="8" fillId="0" borderId="0" xfId="1" applyNumberFormat="1" applyFont="1" applyFill="1" applyBorder="1" applyAlignment="1">
      <alignment horizontal="right"/>
    </xf>
    <xf numFmtId="14" fontId="8" fillId="0" borderId="0" xfId="4" applyNumberFormat="1" applyFont="1" applyFill="1" applyBorder="1"/>
    <xf numFmtId="44" fontId="8" fillId="0" borderId="0" xfId="4" applyNumberFormat="1" applyFont="1" applyFill="1" applyBorder="1" applyAlignment="1">
      <alignment horizontal="center"/>
    </xf>
    <xf numFmtId="0" fontId="8" fillId="0" borderId="7" xfId="4" applyNumberFormat="1" applyFont="1" applyFill="1" applyBorder="1"/>
    <xf numFmtId="44" fontId="13" fillId="0" borderId="7" xfId="4" applyNumberFormat="1" applyFont="1" applyFill="1" applyBorder="1" applyAlignment="1">
      <alignment horizontal="left"/>
    </xf>
    <xf numFmtId="0" fontId="13" fillId="0" borderId="0" xfId="1" applyNumberFormat="1" applyFont="1" applyFill="1"/>
    <xf numFmtId="0" fontId="8" fillId="0" borderId="0" xfId="4" applyNumberFormat="1" applyFont="1" applyFill="1" applyBorder="1" applyAlignment="1">
      <alignment horizontal="right"/>
    </xf>
    <xf numFmtId="44" fontId="8" fillId="0" borderId="0" xfId="4" applyNumberFormat="1" applyFont="1" applyFill="1" applyBorder="1" applyAlignment="1">
      <alignment horizontal="right"/>
    </xf>
    <xf numFmtId="0" fontId="13" fillId="0" borderId="0" xfId="1" applyNumberFormat="1" applyFont="1" applyFill="1" applyAlignment="1">
      <alignment horizontal="right"/>
    </xf>
    <xf numFmtId="44" fontId="13" fillId="0" borderId="0" xfId="0" applyNumberFormat="1" applyFont="1"/>
    <xf numFmtId="44" fontId="13" fillId="0" borderId="0" xfId="4" applyNumberFormat="1" applyFont="1" applyFill="1" applyBorder="1" applyAlignment="1">
      <alignment horizontal="center"/>
    </xf>
    <xf numFmtId="44" fontId="8" fillId="0" borderId="3" xfId="0" applyNumberFormat="1" applyFont="1" applyBorder="1"/>
    <xf numFmtId="0" fontId="7" fillId="0" borderId="0" xfId="1" applyNumberFormat="1" applyFont="1" applyAlignment="1">
      <alignment horizontal="right"/>
    </xf>
    <xf numFmtId="44" fontId="8" fillId="0" borderId="0" xfId="11" applyFont="1" applyFill="1"/>
    <xf numFmtId="0" fontId="8" fillId="0" borderId="0" xfId="4" applyNumberFormat="1" applyFont="1" applyFill="1" applyBorder="1" applyAlignment="1">
      <alignment horizontal="center"/>
    </xf>
    <xf numFmtId="0" fontId="8" fillId="0" borderId="0" xfId="4" applyNumberFormat="1" applyFont="1" applyFill="1" applyBorder="1"/>
    <xf numFmtId="0" fontId="7" fillId="0" borderId="0" xfId="12" applyFont="1" applyAlignment="1">
      <alignment horizontal="right"/>
    </xf>
    <xf numFmtId="44" fontId="8" fillId="0" borderId="0" xfId="1" applyNumberFormat="1" applyFont="1" applyFill="1" applyBorder="1"/>
    <xf numFmtId="44" fontId="12" fillId="4" borderId="0" xfId="2" applyNumberFormat="1" applyFont="1" applyFill="1" applyBorder="1"/>
    <xf numFmtId="43" fontId="22" fillId="0" borderId="0" xfId="1" applyFont="1" applyFill="1" applyBorder="1"/>
    <xf numFmtId="165" fontId="8" fillId="0" borderId="0" xfId="1" applyNumberFormat="1" applyFont="1" applyFill="1" applyBorder="1" applyAlignment="1">
      <alignment horizontal="right"/>
    </xf>
    <xf numFmtId="165" fontId="13" fillId="0" borderId="0" xfId="1" applyNumberFormat="1" applyFont="1" applyFill="1"/>
    <xf numFmtId="14" fontId="8" fillId="0" borderId="0" xfId="4" applyNumberFormat="1" applyFont="1" applyFill="1" applyBorder="1" applyAlignment="1">
      <alignment horizontal="center"/>
    </xf>
    <xf numFmtId="14" fontId="22" fillId="0" borderId="0" xfId="1" applyNumberFormat="1" applyFont="1" applyFill="1" applyBorder="1"/>
    <xf numFmtId="165" fontId="13" fillId="0" borderId="0" xfId="1" applyNumberFormat="1" applyFont="1" applyFill="1" applyBorder="1"/>
    <xf numFmtId="1" fontId="22" fillId="0" borderId="0" xfId="1" applyNumberFormat="1" applyFont="1" applyFill="1"/>
    <xf numFmtId="165" fontId="22" fillId="0" borderId="0" xfId="1" applyNumberFormat="1" applyFont="1" applyFill="1" applyBorder="1"/>
    <xf numFmtId="165" fontId="22" fillId="0" borderId="0" xfId="1" applyNumberFormat="1" applyFont="1" applyFill="1"/>
    <xf numFmtId="164" fontId="13" fillId="0" borderId="0" xfId="1" applyNumberFormat="1" applyFont="1" applyFill="1"/>
    <xf numFmtId="0" fontId="19" fillId="0" borderId="0" xfId="8" quotePrefix="1" applyFont="1"/>
    <xf numFmtId="0" fontId="16" fillId="2" borderId="0" xfId="2" applyNumberFormat="1" applyFont="1" applyFill="1" applyBorder="1" applyAlignment="1">
      <alignment horizontal="center"/>
    </xf>
    <xf numFmtId="0" fontId="24" fillId="6" borderId="0" xfId="8" applyFont="1" applyFill="1"/>
    <xf numFmtId="0" fontId="16" fillId="6" borderId="0" xfId="0" applyFont="1" applyFill="1"/>
    <xf numFmtId="0" fontId="25" fillId="6" borderId="0" xfId="0" applyFont="1" applyFill="1"/>
    <xf numFmtId="44" fontId="16" fillId="6" borderId="0" xfId="11" applyFont="1" applyFill="1"/>
    <xf numFmtId="0" fontId="1" fillId="0" borderId="16" xfId="0" applyFont="1" applyBorder="1"/>
    <xf numFmtId="0" fontId="12" fillId="0" borderId="17" xfId="0" applyFont="1" applyBorder="1" applyAlignment="1">
      <alignment horizontal="right"/>
    </xf>
    <xf numFmtId="14" fontId="12" fillId="0" borderId="17" xfId="0" applyNumberFormat="1" applyFont="1" applyBorder="1" applyAlignment="1">
      <alignment horizontal="right"/>
    </xf>
    <xf numFmtId="165" fontId="12" fillId="0" borderId="17" xfId="1" applyNumberFormat="1" applyFont="1" applyFill="1" applyBorder="1" applyAlignment="1">
      <alignment horizontal="right"/>
    </xf>
    <xf numFmtId="0" fontId="12" fillId="0" borderId="17" xfId="1" applyNumberFormat="1" applyFont="1" applyFill="1" applyBorder="1" applyAlignment="1">
      <alignment horizontal="right"/>
    </xf>
    <xf numFmtId="0" fontId="12" fillId="0" borderId="15" xfId="1" applyNumberFormat="1" applyFont="1" applyFill="1" applyBorder="1" applyAlignment="1">
      <alignment horizontal="right"/>
    </xf>
    <xf numFmtId="0" fontId="1" fillId="0" borderId="0" xfId="11" applyNumberFormat="1" applyFont="1" applyBorder="1"/>
    <xf numFmtId="8" fontId="1" fillId="0" borderId="0" xfId="11" applyNumberFormat="1" applyFont="1" applyBorder="1"/>
    <xf numFmtId="0" fontId="14" fillId="0" borderId="11" xfId="3" applyNumberFormat="1" applyFont="1" applyFill="1" applyBorder="1" applyAlignment="1"/>
    <xf numFmtId="165" fontId="12" fillId="0" borderId="16" xfId="1" applyNumberFormat="1" applyFont="1" applyFill="1" applyBorder="1" applyAlignment="1">
      <alignment horizontal="center"/>
    </xf>
    <xf numFmtId="0" fontId="12" fillId="0" borderId="17" xfId="4" applyNumberFormat="1" applyFont="1" applyFill="1" applyBorder="1" applyAlignment="1">
      <alignment horizontal="center"/>
    </xf>
    <xf numFmtId="0" fontId="10" fillId="0" borderId="17" xfId="1" applyNumberFormat="1" applyFont="1" applyFill="1" applyBorder="1"/>
    <xf numFmtId="0" fontId="10" fillId="0" borderId="17" xfId="2" applyNumberFormat="1" applyFont="1" applyFill="1" applyBorder="1"/>
    <xf numFmtId="9" fontId="10" fillId="0" borderId="17" xfId="2" applyFont="1" applyBorder="1"/>
    <xf numFmtId="170" fontId="1" fillId="0" borderId="0" xfId="11" applyNumberFormat="1" applyFont="1"/>
    <xf numFmtId="0" fontId="7" fillId="0" borderId="5" xfId="0" applyFont="1" applyBorder="1"/>
    <xf numFmtId="9" fontId="7" fillId="0" borderId="5" xfId="2" applyFont="1" applyBorder="1"/>
    <xf numFmtId="44" fontId="1" fillId="0" borderId="18" xfId="11" applyFont="1" applyBorder="1"/>
    <xf numFmtId="44" fontId="11" fillId="0" borderId="5" xfId="0" applyNumberFormat="1" applyFont="1" applyBorder="1"/>
    <xf numFmtId="0" fontId="1" fillId="0" borderId="5" xfId="0" applyFont="1" applyBorder="1"/>
    <xf numFmtId="44" fontId="1" fillId="0" borderId="5" xfId="0" applyNumberFormat="1" applyFont="1" applyBorder="1"/>
    <xf numFmtId="0" fontId="16" fillId="2" borderId="0" xfId="2" applyNumberFormat="1" applyFont="1" applyFill="1" applyBorder="1" applyAlignment="1"/>
    <xf numFmtId="0" fontId="28" fillId="2" borderId="0" xfId="1" applyNumberFormat="1" applyFont="1" applyFill="1" applyBorder="1"/>
    <xf numFmtId="0" fontId="12" fillId="0" borderId="11" xfId="4" applyNumberFormat="1" applyFont="1" applyFill="1" applyBorder="1" applyAlignment="1">
      <alignment horizontal="center"/>
    </xf>
    <xf numFmtId="0" fontId="10" fillId="0" borderId="11" xfId="1" applyNumberFormat="1" applyFont="1" applyFill="1" applyBorder="1"/>
    <xf numFmtId="0" fontId="7" fillId="0" borderId="10" xfId="12" applyFont="1" applyBorder="1" applyAlignment="1">
      <alignment horizontal="left"/>
    </xf>
    <xf numFmtId="14" fontId="18" fillId="0" borderId="9" xfId="4" applyNumberFormat="1" applyFont="1" applyFill="1" applyBorder="1" applyAlignment="1">
      <alignment horizontal="center"/>
    </xf>
    <xf numFmtId="2" fontId="1" fillId="0" borderId="0" xfId="0" applyNumberFormat="1" applyFont="1"/>
    <xf numFmtId="9" fontId="1" fillId="0" borderId="0" xfId="0" applyNumberFormat="1" applyFont="1"/>
    <xf numFmtId="0" fontId="8" fillId="0" borderId="8" xfId="1" applyNumberFormat="1" applyFont="1" applyFill="1" applyBorder="1"/>
    <xf numFmtId="14" fontId="18" fillId="0" borderId="14" xfId="4" applyNumberFormat="1" applyFont="1" applyFill="1" applyBorder="1"/>
    <xf numFmtId="0" fontId="7" fillId="0" borderId="10" xfId="0" applyFont="1" applyBorder="1"/>
    <xf numFmtId="14" fontId="18" fillId="0" borderId="11" xfId="4" applyNumberFormat="1" applyFont="1" applyFill="1" applyBorder="1" applyAlignment="1">
      <alignment horizontal="center"/>
    </xf>
    <xf numFmtId="3" fontId="1" fillId="0" borderId="0" xfId="0" applyNumberFormat="1" applyFont="1"/>
    <xf numFmtId="2" fontId="1" fillId="0" borderId="11" xfId="2" applyNumberFormat="1" applyFont="1" applyBorder="1"/>
    <xf numFmtId="0" fontId="27" fillId="0" borderId="0" xfId="0" applyFont="1"/>
    <xf numFmtId="44" fontId="0" fillId="0" borderId="0" xfId="0" applyNumberFormat="1"/>
    <xf numFmtId="0" fontId="11" fillId="0" borderId="0" xfId="0" applyFont="1"/>
    <xf numFmtId="0" fontId="11" fillId="0" borderId="0" xfId="0" applyFont="1" applyAlignment="1">
      <alignment horizontal="center"/>
    </xf>
    <xf numFmtId="9" fontId="11" fillId="0" borderId="0" xfId="2" applyFont="1" applyBorder="1" applyAlignment="1">
      <alignment horizontal="right"/>
    </xf>
    <xf numFmtId="9" fontId="11" fillId="0" borderId="0" xfId="0" applyNumberFormat="1" applyFont="1" applyAlignment="1">
      <alignment horizontal="right"/>
    </xf>
    <xf numFmtId="44" fontId="11" fillId="0" borderId="0" xfId="11" applyFont="1" applyBorder="1" applyAlignment="1">
      <alignment horizontal="right"/>
    </xf>
    <xf numFmtId="0" fontId="11" fillId="0" borderId="0" xfId="2" applyNumberFormat="1" applyFont="1" applyFill="1" applyBorder="1"/>
    <xf numFmtId="0" fontId="11" fillId="0" borderId="0" xfId="1" applyNumberFormat="1" applyFont="1" applyFill="1" applyBorder="1"/>
    <xf numFmtId="0" fontId="15" fillId="0" borderId="0" xfId="2" applyNumberFormat="1" applyFont="1" applyFill="1" applyBorder="1"/>
    <xf numFmtId="44" fontId="11" fillId="0" borderId="0" xfId="11" applyFont="1" applyBorder="1" applyAlignment="1">
      <alignment horizontal="center"/>
    </xf>
    <xf numFmtId="44" fontId="15" fillId="0" borderId="0" xfId="1" applyNumberFormat="1" applyFont="1" applyFill="1" applyBorder="1"/>
    <xf numFmtId="44" fontId="11" fillId="0" borderId="0" xfId="11" applyFont="1" applyFill="1" applyBorder="1" applyAlignment="1">
      <alignment horizontal="center"/>
    </xf>
    <xf numFmtId="10" fontId="11" fillId="0" borderId="0" xfId="2" applyNumberFormat="1" applyFont="1" applyFill="1" applyBorder="1" applyAlignment="1">
      <alignment horizontal="center"/>
    </xf>
    <xf numFmtId="10" fontId="11" fillId="0" borderId="0" xfId="1" applyNumberFormat="1" applyFont="1" applyFill="1" applyBorder="1"/>
    <xf numFmtId="10" fontId="13" fillId="5" borderId="0" xfId="1" applyNumberFormat="1" applyFont="1" applyFill="1" applyBorder="1"/>
    <xf numFmtId="0" fontId="11" fillId="0" borderId="0" xfId="2" applyNumberFormat="1" applyFont="1" applyFill="1" applyBorder="1" applyAlignment="1">
      <alignment horizontal="center"/>
    </xf>
    <xf numFmtId="0" fontId="11" fillId="0" borderId="0" xfId="1" applyNumberFormat="1" applyFont="1" applyFill="1" applyBorder="1" applyAlignment="1">
      <alignment horizontal="center"/>
    </xf>
    <xf numFmtId="44" fontId="11" fillId="0" borderId="0" xfId="2" applyNumberFormat="1" applyFont="1" applyFill="1" applyBorder="1" applyAlignment="1">
      <alignment horizontal="center"/>
    </xf>
    <xf numFmtId="10" fontId="11" fillId="0" borderId="0" xfId="1" applyNumberFormat="1" applyFont="1" applyFill="1" applyBorder="1" applyAlignment="1">
      <alignment horizontal="center"/>
    </xf>
    <xf numFmtId="0" fontId="26" fillId="0" borderId="0" xfId="0" applyFont="1"/>
    <xf numFmtId="0" fontId="30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44" fontId="11" fillId="0" borderId="0" xfId="11" applyFont="1" applyBorder="1" applyAlignment="1"/>
    <xf numFmtId="44" fontId="11" fillId="0" borderId="0" xfId="0" applyNumberFormat="1" applyFont="1"/>
    <xf numFmtId="10" fontId="11" fillId="0" borderId="0" xfId="0" applyNumberFormat="1" applyFont="1"/>
    <xf numFmtId="10" fontId="11" fillId="0" borderId="0" xfId="2" applyNumberFormat="1" applyFont="1" applyBorder="1" applyAlignment="1">
      <alignment horizontal="right"/>
    </xf>
    <xf numFmtId="167" fontId="11" fillId="0" borderId="0" xfId="2" applyNumberFormat="1" applyFont="1" applyFill="1" applyBorder="1"/>
    <xf numFmtId="0" fontId="31" fillId="0" borderId="0" xfId="0" applyFont="1" applyAlignment="1">
      <alignment horizontal="center"/>
    </xf>
    <xf numFmtId="0" fontId="15" fillId="0" borderId="0" xfId="12" applyFont="1"/>
    <xf numFmtId="0" fontId="15" fillId="0" borderId="0" xfId="0" applyFont="1"/>
    <xf numFmtId="170" fontId="11" fillId="0" borderId="0" xfId="2" applyNumberFormat="1" applyFont="1" applyFill="1" applyBorder="1" applyAlignment="1">
      <alignment horizontal="center"/>
    </xf>
    <xf numFmtId="170" fontId="11" fillId="0" borderId="0" xfId="11" applyNumberFormat="1" applyFont="1" applyBorder="1" applyAlignment="1">
      <alignment horizontal="center"/>
    </xf>
    <xf numFmtId="0" fontId="15" fillId="0" borderId="0" xfId="12" applyFont="1" applyAlignment="1">
      <alignment horizontal="right"/>
    </xf>
    <xf numFmtId="167" fontId="11" fillId="0" borderId="0" xfId="2" applyNumberFormat="1" applyFont="1" applyFill="1" applyBorder="1" applyAlignment="1">
      <alignment horizontal="center"/>
    </xf>
    <xf numFmtId="10" fontId="11" fillId="0" borderId="0" xfId="2" applyNumberFormat="1" applyFont="1" applyFill="1" applyBorder="1"/>
    <xf numFmtId="0" fontId="30" fillId="0" borderId="0" xfId="0" applyFont="1"/>
    <xf numFmtId="0" fontId="33" fillId="0" borderId="0" xfId="0" applyFont="1"/>
    <xf numFmtId="0" fontId="24" fillId="0" borderId="0" xfId="8" applyFont="1" applyFill="1"/>
    <xf numFmtId="44" fontId="13" fillId="5" borderId="0" xfId="2" applyNumberFormat="1" applyFont="1" applyFill="1" applyBorder="1" applyAlignment="1">
      <alignment horizontal="center"/>
    </xf>
    <xf numFmtId="0" fontId="1" fillId="0" borderId="10" xfId="12" applyBorder="1" applyAlignment="1">
      <alignment horizontal="right"/>
    </xf>
    <xf numFmtId="0" fontId="1" fillId="0" borderId="0" xfId="12" applyAlignment="1">
      <alignment horizontal="right"/>
    </xf>
    <xf numFmtId="0" fontId="1" fillId="0" borderId="12" xfId="12" applyBorder="1" applyAlignment="1">
      <alignment horizontal="right"/>
    </xf>
    <xf numFmtId="0" fontId="1" fillId="0" borderId="7" xfId="12" applyBorder="1" applyAlignment="1">
      <alignment horizontal="right"/>
    </xf>
    <xf numFmtId="0" fontId="1" fillId="0" borderId="8" xfId="12" applyBorder="1" applyAlignment="1">
      <alignment horizontal="right"/>
    </xf>
    <xf numFmtId="10" fontId="1" fillId="0" borderId="5" xfId="0" applyNumberFormat="1" applyFont="1" applyBorder="1"/>
    <xf numFmtId="165" fontId="18" fillId="2" borderId="0" xfId="1" applyNumberFormat="1" applyFont="1" applyFill="1" applyBorder="1" applyAlignment="1">
      <alignment horizontal="right"/>
    </xf>
    <xf numFmtId="9" fontId="1" fillId="0" borderId="0" xfId="2" applyFont="1" applyFill="1"/>
    <xf numFmtId="9" fontId="1" fillId="0" borderId="0" xfId="2" applyFont="1"/>
    <xf numFmtId="165" fontId="7" fillId="0" borderId="0" xfId="1" applyNumberFormat="1" applyFont="1" applyFill="1" applyBorder="1"/>
    <xf numFmtId="165" fontId="1" fillId="0" borderId="0" xfId="1" applyNumberFormat="1" applyFont="1" applyFill="1" applyBorder="1"/>
    <xf numFmtId="165" fontId="13" fillId="0" borderId="0" xfId="1" applyNumberFormat="1" applyFont="1" applyFill="1" applyBorder="1" applyAlignment="1">
      <alignment horizontal="right"/>
    </xf>
    <xf numFmtId="165" fontId="9" fillId="0" borderId="0" xfId="1" applyNumberFormat="1" applyFont="1" applyFill="1" applyBorder="1"/>
    <xf numFmtId="165" fontId="9" fillId="0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 applyAlignment="1">
      <alignment horizontal="center"/>
    </xf>
    <xf numFmtId="9" fontId="1" fillId="0" borderId="0" xfId="2" applyFont="1" applyFill="1" applyBorder="1"/>
    <xf numFmtId="165" fontId="1" fillId="0" borderId="0" xfId="1" applyNumberFormat="1" applyFont="1" applyBorder="1"/>
    <xf numFmtId="9" fontId="1" fillId="0" borderId="0" xfId="2" applyFont="1" applyBorder="1"/>
    <xf numFmtId="166" fontId="1" fillId="0" borderId="0" xfId="1" applyNumberFormat="1" applyFont="1" applyFill="1" applyBorder="1"/>
    <xf numFmtId="44" fontId="35" fillId="0" borderId="0" xfId="11" applyFont="1" applyFill="1" applyAlignment="1">
      <alignment horizontal="left"/>
    </xf>
    <xf numFmtId="166" fontId="1" fillId="0" borderId="0" xfId="1" applyNumberFormat="1" applyFont="1" applyBorder="1"/>
    <xf numFmtId="44" fontId="35" fillId="3" borderId="0" xfId="11" applyFont="1" applyFill="1" applyAlignment="1">
      <alignment horizontal="left"/>
    </xf>
    <xf numFmtId="14" fontId="14" fillId="0" borderId="0" xfId="4" applyNumberFormat="1" applyFont="1" applyBorder="1"/>
    <xf numFmtId="14" fontId="14" fillId="0" borderId="0" xfId="4" applyNumberFormat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44" fontId="1" fillId="0" borderId="0" xfId="11" applyFont="1" applyBorder="1" applyAlignment="1">
      <alignment horizontal="right"/>
    </xf>
    <xf numFmtId="44" fontId="1" fillId="0" borderId="0" xfId="11" applyFont="1" applyBorder="1" applyAlignment="1"/>
    <xf numFmtId="9" fontId="1" fillId="0" borderId="0" xfId="2" applyFont="1" applyBorder="1" applyAlignment="1">
      <alignment horizontal="right"/>
    </xf>
    <xf numFmtId="9" fontId="1" fillId="0" borderId="0" xfId="2" applyFont="1" applyBorder="1" applyAlignment="1"/>
    <xf numFmtId="9" fontId="1" fillId="0" borderId="11" xfId="2" applyFont="1" applyBorder="1" applyAlignment="1"/>
    <xf numFmtId="9" fontId="1" fillId="0" borderId="7" xfId="11" applyNumberFormat="1" applyFont="1" applyBorder="1" applyAlignment="1">
      <alignment horizontal="right"/>
    </xf>
    <xf numFmtId="9" fontId="1" fillId="0" borderId="11" xfId="2" applyFont="1" applyBorder="1" applyAlignment="1">
      <alignment horizontal="right"/>
    </xf>
    <xf numFmtId="10" fontId="36" fillId="0" borderId="0" xfId="0" applyNumberFormat="1" applyFont="1"/>
    <xf numFmtId="0" fontId="35" fillId="3" borderId="0" xfId="0" applyFont="1" applyFill="1" applyAlignment="1">
      <alignment horizontal="left"/>
    </xf>
    <xf numFmtId="168" fontId="35" fillId="3" borderId="0" xfId="0" applyNumberFormat="1" applyFont="1" applyFill="1" applyAlignment="1">
      <alignment horizontal="left"/>
    </xf>
    <xf numFmtId="164" fontId="1" fillId="0" borderId="0" xfId="1" applyNumberFormat="1" applyFont="1"/>
    <xf numFmtId="10" fontId="35" fillId="3" borderId="0" xfId="0" applyNumberFormat="1" applyFont="1" applyFill="1" applyAlignment="1">
      <alignment horizontal="left"/>
    </xf>
    <xf numFmtId="164" fontId="37" fillId="0" borderId="0" xfId="1" applyNumberFormat="1" applyFont="1"/>
    <xf numFmtId="165" fontId="13" fillId="0" borderId="0" xfId="1" applyNumberFormat="1" applyFont="1" applyBorder="1"/>
    <xf numFmtId="169" fontId="35" fillId="3" borderId="0" xfId="0" applyNumberFormat="1" applyFont="1" applyFill="1" applyAlignment="1">
      <alignment horizontal="left"/>
    </xf>
    <xf numFmtId="10" fontId="35" fillId="3" borderId="0" xfId="0" applyNumberFormat="1" applyFont="1" applyFill="1" applyAlignment="1">
      <alignment horizontal="right"/>
    </xf>
    <xf numFmtId="165" fontId="18" fillId="0" borderId="0" xfId="1" applyNumberFormat="1" applyFont="1" applyFill="1" applyBorder="1"/>
    <xf numFmtId="44" fontId="13" fillId="0" borderId="0" xfId="4" applyNumberFormat="1" applyFont="1" applyFill="1" applyBorder="1" applyAlignment="1">
      <alignment horizontal="right"/>
    </xf>
    <xf numFmtId="44" fontId="8" fillId="0" borderId="0" xfId="4" applyNumberFormat="1" applyFont="1" applyFill="1" applyBorder="1"/>
    <xf numFmtId="44" fontId="8" fillId="0" borderId="7" xfId="4" applyNumberFormat="1" applyFont="1" applyFill="1" applyBorder="1"/>
    <xf numFmtId="44" fontId="1" fillId="0" borderId="9" xfId="11" applyFont="1" applyBorder="1"/>
    <xf numFmtId="44" fontId="1" fillId="0" borderId="13" xfId="11" applyFont="1" applyBorder="1"/>
    <xf numFmtId="44" fontId="1" fillId="0" borderId="7" xfId="11" applyFont="1" applyFill="1" applyBorder="1"/>
    <xf numFmtId="44" fontId="1" fillId="0" borderId="13" xfId="11" applyFont="1" applyFill="1" applyBorder="1"/>
    <xf numFmtId="44" fontId="13" fillId="0" borderId="7" xfId="4" applyNumberFormat="1" applyFont="1" applyFill="1" applyBorder="1"/>
    <xf numFmtId="0" fontId="8" fillId="0" borderId="0" xfId="3" applyNumberFormat="1" applyFont="1" applyFill="1" applyBorder="1" applyAlignment="1"/>
    <xf numFmtId="0" fontId="8" fillId="0" borderId="5" xfId="4" applyFont="1" applyBorder="1"/>
    <xf numFmtId="0" fontId="11" fillId="0" borderId="0" xfId="2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13" applyFont="1" applyBorder="1" applyAlignment="1">
      <alignment horizontal="center"/>
    </xf>
    <xf numFmtId="0" fontId="29" fillId="0" borderId="0" xfId="13" applyFont="1" applyBorder="1" applyAlignment="1">
      <alignment horizontal="center"/>
    </xf>
    <xf numFmtId="0" fontId="34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2" borderId="0" xfId="2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8" fillId="0" borderId="0" xfId="13" applyFont="1" applyAlignment="1">
      <alignment horizontal="center"/>
    </xf>
    <xf numFmtId="0" fontId="1" fillId="0" borderId="10" xfId="0" applyFont="1" applyBorder="1" applyAlignment="1">
      <alignment horizontal="right"/>
    </xf>
    <xf numFmtId="0" fontId="1" fillId="0" borderId="0" xfId="0" applyFont="1" applyAlignment="1">
      <alignment horizontal="right"/>
    </xf>
    <xf numFmtId="44" fontId="1" fillId="0" borderId="0" xfId="11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44" fontId="1" fillId="0" borderId="7" xfId="11" applyFont="1" applyBorder="1" applyAlignment="1">
      <alignment horizontal="center"/>
    </xf>
    <xf numFmtId="10" fontId="13" fillId="0" borderId="0" xfId="2" applyNumberFormat="1" applyFont="1"/>
  </cellXfs>
  <cellStyles count="14">
    <cellStyle name="Comma" xfId="1" builtinId="3"/>
    <cellStyle name="Comma 2" xfId="9" xr:uid="{00EE1A8B-FCC6-4187-975B-A77799647EAF}"/>
    <cellStyle name="Currency" xfId="11" builtinId="4"/>
    <cellStyle name="Currency 2" xfId="6" xr:uid="{B2BD0EC3-B198-4801-8DE7-D131E001640F}"/>
    <cellStyle name="Heading 1" xfId="3" builtinId="16"/>
    <cellStyle name="Heading 2" xfId="4" builtinId="17"/>
    <cellStyle name="Hyperlink" xfId="8" builtinId="8"/>
    <cellStyle name="Normal" xfId="0" builtinId="0"/>
    <cellStyle name="Normal 2" xfId="5" xr:uid="{40E70AA1-4140-472A-9C87-81AB479CA445}"/>
    <cellStyle name="Normal 2 2" xfId="10" xr:uid="{3110047D-1C32-4898-96D7-F41CC6FB38A1}"/>
    <cellStyle name="Normal 6" xfId="12" xr:uid="{FDB3216C-375D-49C7-AAB0-A81F18682EEA}"/>
    <cellStyle name="Percent" xfId="2" builtinId="5"/>
    <cellStyle name="Percent 2" xfId="7" xr:uid="{E4116AAF-3981-405A-A9D8-271FB8FDE7C0}"/>
    <cellStyle name="Title" xfId="13" builtinId="15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CC66FF"/>
      <color rgb="FFFF0066"/>
      <color rgb="FF990033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of Simulated XNPV of Europe and Central Asia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Risky</c:v>
          </c:tx>
          <c:spPr>
            <a:noFill/>
            <a:ln w="9525" cap="flat" cmpd="sng" algn="ctr">
              <a:solidFill>
                <a:srgbClr val="FF0000"/>
              </a:solidFill>
              <a:miter lim="800000"/>
            </a:ln>
            <a:effectLst>
              <a:glow rad="63500">
                <a:srgbClr val="FF0000">
                  <a:alpha val="25000"/>
                </a:srgbClr>
              </a:glow>
            </a:effectLst>
          </c:spPr>
          <c:invertIfNegative val="0"/>
          <c:cat>
            <c:numRef>
              <c:f>Simulation!$B$202:$B$251</c:f>
              <c:numCache>
                <c:formatCode>_("$"* #,##0.00_);_("$"* \(#,##0.00\);_("$"* "-"??_);_(@_)</c:formatCode>
                <c:ptCount val="50"/>
                <c:pt idx="0">
                  <c:v>133086022.65060356</c:v>
                </c:pt>
                <c:pt idx="1">
                  <c:v>134244726.76537302</c:v>
                </c:pt>
                <c:pt idx="2">
                  <c:v>135403430.88014248</c:v>
                </c:pt>
                <c:pt idx="3">
                  <c:v>136562134.99491194</c:v>
                </c:pt>
                <c:pt idx="4">
                  <c:v>137720839.1096814</c:v>
                </c:pt>
                <c:pt idx="5">
                  <c:v>138879543.22445086</c:v>
                </c:pt>
                <c:pt idx="6">
                  <c:v>140038247.33922032</c:v>
                </c:pt>
                <c:pt idx="7">
                  <c:v>141196951.45398977</c:v>
                </c:pt>
                <c:pt idx="8">
                  <c:v>142355655.56875923</c:v>
                </c:pt>
                <c:pt idx="9">
                  <c:v>143514359.68352869</c:v>
                </c:pt>
                <c:pt idx="10">
                  <c:v>144673063.79829815</c:v>
                </c:pt>
                <c:pt idx="11">
                  <c:v>145831767.91306761</c:v>
                </c:pt>
                <c:pt idx="12">
                  <c:v>146990472.02783707</c:v>
                </c:pt>
                <c:pt idx="13">
                  <c:v>148149176.14260653</c:v>
                </c:pt>
                <c:pt idx="14">
                  <c:v>149307880.25737599</c:v>
                </c:pt>
                <c:pt idx="15">
                  <c:v>150466584.37214544</c:v>
                </c:pt>
                <c:pt idx="16">
                  <c:v>151625288.4869149</c:v>
                </c:pt>
                <c:pt idx="17">
                  <c:v>152783992.60168436</c:v>
                </c:pt>
                <c:pt idx="18">
                  <c:v>153942696.71645382</c:v>
                </c:pt>
                <c:pt idx="19">
                  <c:v>155101400.83122328</c:v>
                </c:pt>
                <c:pt idx="20">
                  <c:v>156260104.94599274</c:v>
                </c:pt>
                <c:pt idx="21">
                  <c:v>157418809.0607622</c:v>
                </c:pt>
                <c:pt idx="22">
                  <c:v>158577513.17553166</c:v>
                </c:pt>
                <c:pt idx="23">
                  <c:v>159736217.29030111</c:v>
                </c:pt>
                <c:pt idx="24">
                  <c:v>160894921.40507057</c:v>
                </c:pt>
                <c:pt idx="25">
                  <c:v>162053625.51984003</c:v>
                </c:pt>
                <c:pt idx="26">
                  <c:v>163212329.63460949</c:v>
                </c:pt>
                <c:pt idx="27">
                  <c:v>164371033.74937895</c:v>
                </c:pt>
                <c:pt idx="28">
                  <c:v>165529737.86414841</c:v>
                </c:pt>
                <c:pt idx="29">
                  <c:v>166688441.97891787</c:v>
                </c:pt>
                <c:pt idx="30">
                  <c:v>167847146.09368733</c:v>
                </c:pt>
                <c:pt idx="31">
                  <c:v>169005850.20845678</c:v>
                </c:pt>
                <c:pt idx="32">
                  <c:v>170164554.32322624</c:v>
                </c:pt>
                <c:pt idx="33">
                  <c:v>171323258.4379957</c:v>
                </c:pt>
                <c:pt idx="34">
                  <c:v>172481962.55276516</c:v>
                </c:pt>
                <c:pt idx="35">
                  <c:v>173640666.66753462</c:v>
                </c:pt>
                <c:pt idx="36">
                  <c:v>174799370.78230408</c:v>
                </c:pt>
                <c:pt idx="37">
                  <c:v>175958074.89707354</c:v>
                </c:pt>
                <c:pt idx="38">
                  <c:v>177116779.011843</c:v>
                </c:pt>
                <c:pt idx="39">
                  <c:v>178275483.12661245</c:v>
                </c:pt>
                <c:pt idx="40">
                  <c:v>179434187.24138191</c:v>
                </c:pt>
                <c:pt idx="41">
                  <c:v>180592891.35615137</c:v>
                </c:pt>
                <c:pt idx="42">
                  <c:v>181751595.47092083</c:v>
                </c:pt>
                <c:pt idx="43">
                  <c:v>182910299.58569029</c:v>
                </c:pt>
                <c:pt idx="44">
                  <c:v>184069003.70045975</c:v>
                </c:pt>
                <c:pt idx="45">
                  <c:v>185227707.81522921</c:v>
                </c:pt>
                <c:pt idx="46">
                  <c:v>186386411.92999867</c:v>
                </c:pt>
                <c:pt idx="47">
                  <c:v>187545116.04476812</c:v>
                </c:pt>
                <c:pt idx="48">
                  <c:v>188703820.15953758</c:v>
                </c:pt>
                <c:pt idx="49">
                  <c:v>189862524.27430704</c:v>
                </c:pt>
              </c:numCache>
            </c:numRef>
          </c:cat>
          <c:val>
            <c:numRef>
              <c:f>Simulation!$E$202:$E$251</c:f>
              <c:numCache>
                <c:formatCode>General</c:formatCode>
                <c:ptCount val="5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5-4B3E-A71A-0216F97782AA}"/>
            </c:ext>
          </c:extLst>
        </c:ser>
        <c:ser>
          <c:idx val="1"/>
          <c:order val="1"/>
          <c:tx>
            <c:v>Non-Risky</c:v>
          </c:tx>
          <c:spPr>
            <a:noFill/>
            <a:ln w="9525" cap="flat" cmpd="sng" algn="ctr">
              <a:solidFill>
                <a:srgbClr val="00B050"/>
              </a:solidFill>
              <a:miter lim="800000"/>
            </a:ln>
            <a:effectLst>
              <a:glow rad="63500">
                <a:srgbClr val="00B050">
                  <a:alpha val="25000"/>
                </a:srgbClr>
              </a:glow>
            </a:effectLst>
          </c:spPr>
          <c:invertIfNegative val="0"/>
          <c:cat>
            <c:numRef>
              <c:f>Simulation!$B$202:$B$251</c:f>
              <c:numCache>
                <c:formatCode>_("$"* #,##0.00_);_("$"* \(#,##0.00\);_("$"* "-"??_);_(@_)</c:formatCode>
                <c:ptCount val="50"/>
                <c:pt idx="0">
                  <c:v>133086022.65060356</c:v>
                </c:pt>
                <c:pt idx="1">
                  <c:v>134244726.76537302</c:v>
                </c:pt>
                <c:pt idx="2">
                  <c:v>135403430.88014248</c:v>
                </c:pt>
                <c:pt idx="3">
                  <c:v>136562134.99491194</c:v>
                </c:pt>
                <c:pt idx="4">
                  <c:v>137720839.1096814</c:v>
                </c:pt>
                <c:pt idx="5">
                  <c:v>138879543.22445086</c:v>
                </c:pt>
                <c:pt idx="6">
                  <c:v>140038247.33922032</c:v>
                </c:pt>
                <c:pt idx="7">
                  <c:v>141196951.45398977</c:v>
                </c:pt>
                <c:pt idx="8">
                  <c:v>142355655.56875923</c:v>
                </c:pt>
                <c:pt idx="9">
                  <c:v>143514359.68352869</c:v>
                </c:pt>
                <c:pt idx="10">
                  <c:v>144673063.79829815</c:v>
                </c:pt>
                <c:pt idx="11">
                  <c:v>145831767.91306761</c:v>
                </c:pt>
                <c:pt idx="12">
                  <c:v>146990472.02783707</c:v>
                </c:pt>
                <c:pt idx="13">
                  <c:v>148149176.14260653</c:v>
                </c:pt>
                <c:pt idx="14">
                  <c:v>149307880.25737599</c:v>
                </c:pt>
                <c:pt idx="15">
                  <c:v>150466584.37214544</c:v>
                </c:pt>
                <c:pt idx="16">
                  <c:v>151625288.4869149</c:v>
                </c:pt>
                <c:pt idx="17">
                  <c:v>152783992.60168436</c:v>
                </c:pt>
                <c:pt idx="18">
                  <c:v>153942696.71645382</c:v>
                </c:pt>
                <c:pt idx="19">
                  <c:v>155101400.83122328</c:v>
                </c:pt>
                <c:pt idx="20">
                  <c:v>156260104.94599274</c:v>
                </c:pt>
                <c:pt idx="21">
                  <c:v>157418809.0607622</c:v>
                </c:pt>
                <c:pt idx="22">
                  <c:v>158577513.17553166</c:v>
                </c:pt>
                <c:pt idx="23">
                  <c:v>159736217.29030111</c:v>
                </c:pt>
                <c:pt idx="24">
                  <c:v>160894921.40507057</c:v>
                </c:pt>
                <c:pt idx="25">
                  <c:v>162053625.51984003</c:v>
                </c:pt>
                <c:pt idx="26">
                  <c:v>163212329.63460949</c:v>
                </c:pt>
                <c:pt idx="27">
                  <c:v>164371033.74937895</c:v>
                </c:pt>
                <c:pt idx="28">
                  <c:v>165529737.86414841</c:v>
                </c:pt>
                <c:pt idx="29">
                  <c:v>166688441.97891787</c:v>
                </c:pt>
                <c:pt idx="30">
                  <c:v>167847146.09368733</c:v>
                </c:pt>
                <c:pt idx="31">
                  <c:v>169005850.20845678</c:v>
                </c:pt>
                <c:pt idx="32">
                  <c:v>170164554.32322624</c:v>
                </c:pt>
                <c:pt idx="33">
                  <c:v>171323258.4379957</c:v>
                </c:pt>
                <c:pt idx="34">
                  <c:v>172481962.55276516</c:v>
                </c:pt>
                <c:pt idx="35">
                  <c:v>173640666.66753462</c:v>
                </c:pt>
                <c:pt idx="36">
                  <c:v>174799370.78230408</c:v>
                </c:pt>
                <c:pt idx="37">
                  <c:v>175958074.89707354</c:v>
                </c:pt>
                <c:pt idx="38">
                  <c:v>177116779.011843</c:v>
                </c:pt>
                <c:pt idx="39">
                  <c:v>178275483.12661245</c:v>
                </c:pt>
                <c:pt idx="40">
                  <c:v>179434187.24138191</c:v>
                </c:pt>
                <c:pt idx="41">
                  <c:v>180592891.35615137</c:v>
                </c:pt>
                <c:pt idx="42">
                  <c:v>181751595.47092083</c:v>
                </c:pt>
                <c:pt idx="43">
                  <c:v>182910299.58569029</c:v>
                </c:pt>
                <c:pt idx="44">
                  <c:v>184069003.70045975</c:v>
                </c:pt>
                <c:pt idx="45">
                  <c:v>185227707.81522921</c:v>
                </c:pt>
                <c:pt idx="46">
                  <c:v>186386411.92999867</c:v>
                </c:pt>
                <c:pt idx="47">
                  <c:v>187545116.04476812</c:v>
                </c:pt>
                <c:pt idx="48">
                  <c:v>188703820.15953758</c:v>
                </c:pt>
                <c:pt idx="49">
                  <c:v>189862524.27430704</c:v>
                </c:pt>
              </c:numCache>
            </c:numRef>
          </c:cat>
          <c:val>
            <c:numRef>
              <c:f>Simulation!$F$202:$F$251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4</c:v>
                </c:pt>
                <c:pt idx="30">
                  <c:v>1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5-4B3E-A71A-0216F977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765736463"/>
        <c:axId val="765731471"/>
      </c:barChart>
      <c:catAx>
        <c:axId val="7657364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31471"/>
        <c:crosses val="autoZero"/>
        <c:auto val="1"/>
        <c:lblAlgn val="ctr"/>
        <c:lblOffset val="100"/>
        <c:noMultiLvlLbl val="0"/>
      </c:catAx>
      <c:valAx>
        <c:axId val="7657314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3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of Simulated XNPV of South Asia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Risky</c:v>
          </c:tx>
          <c:spPr>
            <a:noFill/>
            <a:ln w="9525" cap="flat" cmpd="sng" algn="ctr">
              <a:solidFill>
                <a:srgbClr val="FF0000"/>
              </a:solidFill>
              <a:miter lim="800000"/>
            </a:ln>
            <a:effectLst>
              <a:glow rad="63500">
                <a:srgbClr val="FF0000">
                  <a:alpha val="25000"/>
                </a:srgbClr>
              </a:glow>
            </a:effectLst>
          </c:spPr>
          <c:invertIfNegative val="0"/>
          <c:cat>
            <c:numRef>
              <c:f>Simulation!$B$255:$B$304</c:f>
              <c:numCache>
                <c:formatCode>_("$"* #,##0.00_);_("$"* \(#,##0.00\);_("$"* "-"??_);_(@_)</c:formatCode>
                <c:ptCount val="50"/>
                <c:pt idx="0">
                  <c:v>6462790.554395631</c:v>
                </c:pt>
                <c:pt idx="1">
                  <c:v>11022792.355559709</c:v>
                </c:pt>
                <c:pt idx="2">
                  <c:v>15582794.156723786</c:v>
                </c:pt>
                <c:pt idx="3">
                  <c:v>20142795.957887866</c:v>
                </c:pt>
                <c:pt idx="4">
                  <c:v>24702797.759051941</c:v>
                </c:pt>
                <c:pt idx="5">
                  <c:v>29262799.560216017</c:v>
                </c:pt>
                <c:pt idx="6">
                  <c:v>33822801.361380093</c:v>
                </c:pt>
                <c:pt idx="7">
                  <c:v>38382803.162544169</c:v>
                </c:pt>
                <c:pt idx="8">
                  <c:v>42942804.963708244</c:v>
                </c:pt>
                <c:pt idx="9">
                  <c:v>47502806.76487232</c:v>
                </c:pt>
                <c:pt idx="10">
                  <c:v>52062808.566036396</c:v>
                </c:pt>
                <c:pt idx="11">
                  <c:v>56622810.367200471</c:v>
                </c:pt>
                <c:pt idx="12">
                  <c:v>61182812.168364547</c:v>
                </c:pt>
                <c:pt idx="13">
                  <c:v>65742813.969528623</c:v>
                </c:pt>
                <c:pt idx="14">
                  <c:v>70302815.770692706</c:v>
                </c:pt>
                <c:pt idx="15">
                  <c:v>74862817.571856782</c:v>
                </c:pt>
                <c:pt idx="16">
                  <c:v>79422819.373020858</c:v>
                </c:pt>
                <c:pt idx="17">
                  <c:v>83982821.174184933</c:v>
                </c:pt>
                <c:pt idx="18">
                  <c:v>88542822.975349009</c:v>
                </c:pt>
                <c:pt idx="19">
                  <c:v>93102824.776513085</c:v>
                </c:pt>
                <c:pt idx="20">
                  <c:v>97662826.577677161</c:v>
                </c:pt>
                <c:pt idx="21">
                  <c:v>102222828.37884124</c:v>
                </c:pt>
                <c:pt idx="22">
                  <c:v>106782830.18000531</c:v>
                </c:pt>
                <c:pt idx="23">
                  <c:v>111342831.98116939</c:v>
                </c:pt>
                <c:pt idx="24">
                  <c:v>115902833.78233346</c:v>
                </c:pt>
                <c:pt idx="25">
                  <c:v>120462835.58349754</c:v>
                </c:pt>
                <c:pt idx="26">
                  <c:v>125022837.38466161</c:v>
                </c:pt>
                <c:pt idx="27">
                  <c:v>129582839.18582569</c:v>
                </c:pt>
                <c:pt idx="28">
                  <c:v>134142840.98698977</c:v>
                </c:pt>
                <c:pt idx="29">
                  <c:v>138702842.78815386</c:v>
                </c:pt>
                <c:pt idx="30">
                  <c:v>143262844.58931795</c:v>
                </c:pt>
                <c:pt idx="31">
                  <c:v>147822846.39048204</c:v>
                </c:pt>
                <c:pt idx="32">
                  <c:v>152382848.19164613</c:v>
                </c:pt>
                <c:pt idx="33">
                  <c:v>156942849.99281022</c:v>
                </c:pt>
                <c:pt idx="34">
                  <c:v>161502851.79397431</c:v>
                </c:pt>
                <c:pt idx="35">
                  <c:v>166062853.5951384</c:v>
                </c:pt>
                <c:pt idx="36">
                  <c:v>170622855.39630249</c:v>
                </c:pt>
                <c:pt idx="37">
                  <c:v>175182857.19746658</c:v>
                </c:pt>
                <c:pt idx="38">
                  <c:v>179742858.99863067</c:v>
                </c:pt>
                <c:pt idx="39">
                  <c:v>184302860.79979476</c:v>
                </c:pt>
                <c:pt idx="40">
                  <c:v>188862862.60095885</c:v>
                </c:pt>
                <c:pt idx="41">
                  <c:v>193422864.40212294</c:v>
                </c:pt>
                <c:pt idx="42">
                  <c:v>197982866.20328704</c:v>
                </c:pt>
                <c:pt idx="43">
                  <c:v>202542868.00445113</c:v>
                </c:pt>
                <c:pt idx="44">
                  <c:v>207102869.80561522</c:v>
                </c:pt>
                <c:pt idx="45">
                  <c:v>211662871.60677931</c:v>
                </c:pt>
                <c:pt idx="46">
                  <c:v>216222873.4079434</c:v>
                </c:pt>
                <c:pt idx="47">
                  <c:v>220782875.20910749</c:v>
                </c:pt>
                <c:pt idx="48">
                  <c:v>225342877.01027158</c:v>
                </c:pt>
                <c:pt idx="49">
                  <c:v>229902878.81143567</c:v>
                </c:pt>
              </c:numCache>
            </c:numRef>
          </c:cat>
          <c:val>
            <c:numRef>
              <c:f>Simulation!$E$255:$E$304</c:f>
              <c:numCache>
                <c:formatCode>General</c:formatCode>
                <c:ptCount val="5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6</c:v>
                </c:pt>
                <c:pt idx="26">
                  <c:v>0</c:v>
                </c:pt>
                <c:pt idx="27">
                  <c:v>3</c:v>
                </c:pt>
                <c:pt idx="28">
                  <c:v>6</c:v>
                </c:pt>
                <c:pt idx="29">
                  <c:v>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F-4BBA-8E5E-740439FBCA4A}"/>
            </c:ext>
          </c:extLst>
        </c:ser>
        <c:ser>
          <c:idx val="1"/>
          <c:order val="1"/>
          <c:tx>
            <c:v>Non-Risky</c:v>
          </c:tx>
          <c:spPr>
            <a:noFill/>
            <a:ln w="9525" cap="flat" cmpd="sng" algn="ctr">
              <a:solidFill>
                <a:srgbClr val="00B050"/>
              </a:solidFill>
              <a:miter lim="800000"/>
            </a:ln>
            <a:effectLst>
              <a:glow rad="63500">
                <a:srgbClr val="00B050">
                  <a:alpha val="25000"/>
                </a:srgbClr>
              </a:glow>
            </a:effectLst>
          </c:spPr>
          <c:invertIfNegative val="0"/>
          <c:cat>
            <c:numRef>
              <c:f>Simulation!$B$255:$B$304</c:f>
              <c:numCache>
                <c:formatCode>_("$"* #,##0.00_);_("$"* \(#,##0.00\);_("$"* "-"??_);_(@_)</c:formatCode>
                <c:ptCount val="50"/>
                <c:pt idx="0">
                  <c:v>6462790.554395631</c:v>
                </c:pt>
                <c:pt idx="1">
                  <c:v>11022792.355559709</c:v>
                </c:pt>
                <c:pt idx="2">
                  <c:v>15582794.156723786</c:v>
                </c:pt>
                <c:pt idx="3">
                  <c:v>20142795.957887866</c:v>
                </c:pt>
                <c:pt idx="4">
                  <c:v>24702797.759051941</c:v>
                </c:pt>
                <c:pt idx="5">
                  <c:v>29262799.560216017</c:v>
                </c:pt>
                <c:pt idx="6">
                  <c:v>33822801.361380093</c:v>
                </c:pt>
                <c:pt idx="7">
                  <c:v>38382803.162544169</c:v>
                </c:pt>
                <c:pt idx="8">
                  <c:v>42942804.963708244</c:v>
                </c:pt>
                <c:pt idx="9">
                  <c:v>47502806.76487232</c:v>
                </c:pt>
                <c:pt idx="10">
                  <c:v>52062808.566036396</c:v>
                </c:pt>
                <c:pt idx="11">
                  <c:v>56622810.367200471</c:v>
                </c:pt>
                <c:pt idx="12">
                  <c:v>61182812.168364547</c:v>
                </c:pt>
                <c:pt idx="13">
                  <c:v>65742813.969528623</c:v>
                </c:pt>
                <c:pt idx="14">
                  <c:v>70302815.770692706</c:v>
                </c:pt>
                <c:pt idx="15">
                  <c:v>74862817.571856782</c:v>
                </c:pt>
                <c:pt idx="16">
                  <c:v>79422819.373020858</c:v>
                </c:pt>
                <c:pt idx="17">
                  <c:v>83982821.174184933</c:v>
                </c:pt>
                <c:pt idx="18">
                  <c:v>88542822.975349009</c:v>
                </c:pt>
                <c:pt idx="19">
                  <c:v>93102824.776513085</c:v>
                </c:pt>
                <c:pt idx="20">
                  <c:v>97662826.577677161</c:v>
                </c:pt>
                <c:pt idx="21">
                  <c:v>102222828.37884124</c:v>
                </c:pt>
                <c:pt idx="22">
                  <c:v>106782830.18000531</c:v>
                </c:pt>
                <c:pt idx="23">
                  <c:v>111342831.98116939</c:v>
                </c:pt>
                <c:pt idx="24">
                  <c:v>115902833.78233346</c:v>
                </c:pt>
                <c:pt idx="25">
                  <c:v>120462835.58349754</c:v>
                </c:pt>
                <c:pt idx="26">
                  <c:v>125022837.38466161</c:v>
                </c:pt>
                <c:pt idx="27">
                  <c:v>129582839.18582569</c:v>
                </c:pt>
                <c:pt idx="28">
                  <c:v>134142840.98698977</c:v>
                </c:pt>
                <c:pt idx="29">
                  <c:v>138702842.78815386</c:v>
                </c:pt>
                <c:pt idx="30">
                  <c:v>143262844.58931795</c:v>
                </c:pt>
                <c:pt idx="31">
                  <c:v>147822846.39048204</c:v>
                </c:pt>
                <c:pt idx="32">
                  <c:v>152382848.19164613</c:v>
                </c:pt>
                <c:pt idx="33">
                  <c:v>156942849.99281022</c:v>
                </c:pt>
                <c:pt idx="34">
                  <c:v>161502851.79397431</c:v>
                </c:pt>
                <c:pt idx="35">
                  <c:v>166062853.5951384</c:v>
                </c:pt>
                <c:pt idx="36">
                  <c:v>170622855.39630249</c:v>
                </c:pt>
                <c:pt idx="37">
                  <c:v>175182857.19746658</c:v>
                </c:pt>
                <c:pt idx="38">
                  <c:v>179742858.99863067</c:v>
                </c:pt>
                <c:pt idx="39">
                  <c:v>184302860.79979476</c:v>
                </c:pt>
                <c:pt idx="40">
                  <c:v>188862862.60095885</c:v>
                </c:pt>
                <c:pt idx="41">
                  <c:v>193422864.40212294</c:v>
                </c:pt>
                <c:pt idx="42">
                  <c:v>197982866.20328704</c:v>
                </c:pt>
                <c:pt idx="43">
                  <c:v>202542868.00445113</c:v>
                </c:pt>
                <c:pt idx="44">
                  <c:v>207102869.80561522</c:v>
                </c:pt>
                <c:pt idx="45">
                  <c:v>211662871.60677931</c:v>
                </c:pt>
                <c:pt idx="46">
                  <c:v>216222873.4079434</c:v>
                </c:pt>
                <c:pt idx="47">
                  <c:v>220782875.20910749</c:v>
                </c:pt>
                <c:pt idx="48">
                  <c:v>225342877.01027158</c:v>
                </c:pt>
                <c:pt idx="49">
                  <c:v>229902878.81143567</c:v>
                </c:pt>
              </c:numCache>
            </c:numRef>
          </c:cat>
          <c:val>
            <c:numRef>
              <c:f>Simulation!$F$255:$F$304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3</c:v>
                </c:pt>
                <c:pt idx="36">
                  <c:v>2</c:v>
                </c:pt>
                <c:pt idx="37">
                  <c:v>5</c:v>
                </c:pt>
                <c:pt idx="38">
                  <c:v>4</c:v>
                </c:pt>
                <c:pt idx="39">
                  <c:v>3</c:v>
                </c:pt>
                <c:pt idx="40">
                  <c:v>1</c:v>
                </c:pt>
                <c:pt idx="41">
                  <c:v>1</c:v>
                </c:pt>
                <c:pt idx="42">
                  <c:v>4</c:v>
                </c:pt>
                <c:pt idx="43">
                  <c:v>1</c:v>
                </c:pt>
                <c:pt idx="44">
                  <c:v>0</c:v>
                </c:pt>
                <c:pt idx="45">
                  <c:v>3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F-4BBA-8E5E-740439FB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21463311"/>
        <c:axId val="221463727"/>
      </c:barChart>
      <c:catAx>
        <c:axId val="2214633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3727"/>
        <c:crosses val="autoZero"/>
        <c:auto val="1"/>
        <c:lblAlgn val="ctr"/>
        <c:lblOffset val="100"/>
        <c:noMultiLvlLbl val="0"/>
      </c:catAx>
      <c:valAx>
        <c:axId val="2214637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3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  <a:r>
              <a:rPr lang="en-US" baseline="0"/>
              <a:t> of Simulated XNPV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Risky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Simulation!$E$149:$E$198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6-462A-A6C3-D8D9682A3760}"/>
            </c:ext>
          </c:extLst>
        </c:ser>
        <c:ser>
          <c:idx val="1"/>
          <c:order val="1"/>
          <c:tx>
            <c:v>Non-Risky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Simulation!$F$149:$F$198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6-462A-A6C3-D8D9682A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673823"/>
        <c:axId val="497674239"/>
      </c:barChart>
      <c:catAx>
        <c:axId val="497673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74239"/>
        <c:crosses val="autoZero"/>
        <c:auto val="1"/>
        <c:lblAlgn val="ctr"/>
        <c:lblOffset val="100"/>
        <c:noMultiLvlLbl val="0"/>
      </c:catAx>
      <c:valAx>
        <c:axId val="49767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73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  <a:r>
              <a:rPr lang="en-US" baseline="0"/>
              <a:t> of Simulated XNPV of Europe and Central Asia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Risky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Simulation!$B$202:$B$251</c:f>
              <c:numCache>
                <c:formatCode>_("$"* #,##0.00_);_("$"* \(#,##0.00\);_("$"* "-"??_);_(@_)</c:formatCode>
                <c:ptCount val="50"/>
                <c:pt idx="0">
                  <c:v>133086022.65060356</c:v>
                </c:pt>
                <c:pt idx="1">
                  <c:v>134244726.76537302</c:v>
                </c:pt>
                <c:pt idx="2">
                  <c:v>135403430.88014248</c:v>
                </c:pt>
                <c:pt idx="3">
                  <c:v>136562134.99491194</c:v>
                </c:pt>
                <c:pt idx="4">
                  <c:v>137720839.1096814</c:v>
                </c:pt>
                <c:pt idx="5">
                  <c:v>138879543.22445086</c:v>
                </c:pt>
                <c:pt idx="6">
                  <c:v>140038247.33922032</c:v>
                </c:pt>
                <c:pt idx="7">
                  <c:v>141196951.45398977</c:v>
                </c:pt>
                <c:pt idx="8">
                  <c:v>142355655.56875923</c:v>
                </c:pt>
                <c:pt idx="9">
                  <c:v>143514359.68352869</c:v>
                </c:pt>
                <c:pt idx="10">
                  <c:v>144673063.79829815</c:v>
                </c:pt>
                <c:pt idx="11">
                  <c:v>145831767.91306761</c:v>
                </c:pt>
                <c:pt idx="12">
                  <c:v>146990472.02783707</c:v>
                </c:pt>
                <c:pt idx="13">
                  <c:v>148149176.14260653</c:v>
                </c:pt>
                <c:pt idx="14">
                  <c:v>149307880.25737599</c:v>
                </c:pt>
                <c:pt idx="15">
                  <c:v>150466584.37214544</c:v>
                </c:pt>
                <c:pt idx="16">
                  <c:v>151625288.4869149</c:v>
                </c:pt>
                <c:pt idx="17">
                  <c:v>152783992.60168436</c:v>
                </c:pt>
                <c:pt idx="18">
                  <c:v>153942696.71645382</c:v>
                </c:pt>
                <c:pt idx="19">
                  <c:v>155101400.83122328</c:v>
                </c:pt>
                <c:pt idx="20">
                  <c:v>156260104.94599274</c:v>
                </c:pt>
                <c:pt idx="21">
                  <c:v>157418809.0607622</c:v>
                </c:pt>
                <c:pt idx="22">
                  <c:v>158577513.17553166</c:v>
                </c:pt>
                <c:pt idx="23">
                  <c:v>159736217.29030111</c:v>
                </c:pt>
                <c:pt idx="24">
                  <c:v>160894921.40507057</c:v>
                </c:pt>
                <c:pt idx="25">
                  <c:v>162053625.51984003</c:v>
                </c:pt>
                <c:pt idx="26">
                  <c:v>163212329.63460949</c:v>
                </c:pt>
                <c:pt idx="27">
                  <c:v>164371033.74937895</c:v>
                </c:pt>
                <c:pt idx="28">
                  <c:v>165529737.86414841</c:v>
                </c:pt>
                <c:pt idx="29">
                  <c:v>166688441.97891787</c:v>
                </c:pt>
                <c:pt idx="30">
                  <c:v>167847146.09368733</c:v>
                </c:pt>
                <c:pt idx="31">
                  <c:v>169005850.20845678</c:v>
                </c:pt>
                <c:pt idx="32">
                  <c:v>170164554.32322624</c:v>
                </c:pt>
                <c:pt idx="33">
                  <c:v>171323258.4379957</c:v>
                </c:pt>
                <c:pt idx="34">
                  <c:v>172481962.55276516</c:v>
                </c:pt>
                <c:pt idx="35">
                  <c:v>173640666.66753462</c:v>
                </c:pt>
                <c:pt idx="36">
                  <c:v>174799370.78230408</c:v>
                </c:pt>
                <c:pt idx="37">
                  <c:v>175958074.89707354</c:v>
                </c:pt>
                <c:pt idx="38">
                  <c:v>177116779.011843</c:v>
                </c:pt>
                <c:pt idx="39">
                  <c:v>178275483.12661245</c:v>
                </c:pt>
                <c:pt idx="40">
                  <c:v>179434187.24138191</c:v>
                </c:pt>
                <c:pt idx="41">
                  <c:v>180592891.35615137</c:v>
                </c:pt>
                <c:pt idx="42">
                  <c:v>181751595.47092083</c:v>
                </c:pt>
                <c:pt idx="43">
                  <c:v>182910299.58569029</c:v>
                </c:pt>
                <c:pt idx="44">
                  <c:v>184069003.70045975</c:v>
                </c:pt>
                <c:pt idx="45">
                  <c:v>185227707.81522921</c:v>
                </c:pt>
                <c:pt idx="46">
                  <c:v>186386411.92999867</c:v>
                </c:pt>
                <c:pt idx="47">
                  <c:v>187545116.04476812</c:v>
                </c:pt>
                <c:pt idx="48">
                  <c:v>188703820.15953758</c:v>
                </c:pt>
                <c:pt idx="49">
                  <c:v>189862524.27430704</c:v>
                </c:pt>
              </c:numCache>
            </c:numRef>
          </c:cat>
          <c:val>
            <c:numRef>
              <c:f>Simulation!$E$202:$E$251</c:f>
              <c:numCache>
                <c:formatCode>General</c:formatCode>
                <c:ptCount val="5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0-4B96-945B-06B120C31D29}"/>
            </c:ext>
          </c:extLst>
        </c:ser>
        <c:ser>
          <c:idx val="1"/>
          <c:order val="1"/>
          <c:tx>
            <c:v>Non-Risky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Simulation!$B$202:$B$251</c:f>
              <c:numCache>
                <c:formatCode>_("$"* #,##0.00_);_("$"* \(#,##0.00\);_("$"* "-"??_);_(@_)</c:formatCode>
                <c:ptCount val="50"/>
                <c:pt idx="0">
                  <c:v>133086022.65060356</c:v>
                </c:pt>
                <c:pt idx="1">
                  <c:v>134244726.76537302</c:v>
                </c:pt>
                <c:pt idx="2">
                  <c:v>135403430.88014248</c:v>
                </c:pt>
                <c:pt idx="3">
                  <c:v>136562134.99491194</c:v>
                </c:pt>
                <c:pt idx="4">
                  <c:v>137720839.1096814</c:v>
                </c:pt>
                <c:pt idx="5">
                  <c:v>138879543.22445086</c:v>
                </c:pt>
                <c:pt idx="6">
                  <c:v>140038247.33922032</c:v>
                </c:pt>
                <c:pt idx="7">
                  <c:v>141196951.45398977</c:v>
                </c:pt>
                <c:pt idx="8">
                  <c:v>142355655.56875923</c:v>
                </c:pt>
                <c:pt idx="9">
                  <c:v>143514359.68352869</c:v>
                </c:pt>
                <c:pt idx="10">
                  <c:v>144673063.79829815</c:v>
                </c:pt>
                <c:pt idx="11">
                  <c:v>145831767.91306761</c:v>
                </c:pt>
                <c:pt idx="12">
                  <c:v>146990472.02783707</c:v>
                </c:pt>
                <c:pt idx="13">
                  <c:v>148149176.14260653</c:v>
                </c:pt>
                <c:pt idx="14">
                  <c:v>149307880.25737599</c:v>
                </c:pt>
                <c:pt idx="15">
                  <c:v>150466584.37214544</c:v>
                </c:pt>
                <c:pt idx="16">
                  <c:v>151625288.4869149</c:v>
                </c:pt>
                <c:pt idx="17">
                  <c:v>152783992.60168436</c:v>
                </c:pt>
                <c:pt idx="18">
                  <c:v>153942696.71645382</c:v>
                </c:pt>
                <c:pt idx="19">
                  <c:v>155101400.83122328</c:v>
                </c:pt>
                <c:pt idx="20">
                  <c:v>156260104.94599274</c:v>
                </c:pt>
                <c:pt idx="21">
                  <c:v>157418809.0607622</c:v>
                </c:pt>
                <c:pt idx="22">
                  <c:v>158577513.17553166</c:v>
                </c:pt>
                <c:pt idx="23">
                  <c:v>159736217.29030111</c:v>
                </c:pt>
                <c:pt idx="24">
                  <c:v>160894921.40507057</c:v>
                </c:pt>
                <c:pt idx="25">
                  <c:v>162053625.51984003</c:v>
                </c:pt>
                <c:pt idx="26">
                  <c:v>163212329.63460949</c:v>
                </c:pt>
                <c:pt idx="27">
                  <c:v>164371033.74937895</c:v>
                </c:pt>
                <c:pt idx="28">
                  <c:v>165529737.86414841</c:v>
                </c:pt>
                <c:pt idx="29">
                  <c:v>166688441.97891787</c:v>
                </c:pt>
                <c:pt idx="30">
                  <c:v>167847146.09368733</c:v>
                </c:pt>
                <c:pt idx="31">
                  <c:v>169005850.20845678</c:v>
                </c:pt>
                <c:pt idx="32">
                  <c:v>170164554.32322624</c:v>
                </c:pt>
                <c:pt idx="33">
                  <c:v>171323258.4379957</c:v>
                </c:pt>
                <c:pt idx="34">
                  <c:v>172481962.55276516</c:v>
                </c:pt>
                <c:pt idx="35">
                  <c:v>173640666.66753462</c:v>
                </c:pt>
                <c:pt idx="36">
                  <c:v>174799370.78230408</c:v>
                </c:pt>
                <c:pt idx="37">
                  <c:v>175958074.89707354</c:v>
                </c:pt>
                <c:pt idx="38">
                  <c:v>177116779.011843</c:v>
                </c:pt>
                <c:pt idx="39">
                  <c:v>178275483.12661245</c:v>
                </c:pt>
                <c:pt idx="40">
                  <c:v>179434187.24138191</c:v>
                </c:pt>
                <c:pt idx="41">
                  <c:v>180592891.35615137</c:v>
                </c:pt>
                <c:pt idx="42">
                  <c:v>181751595.47092083</c:v>
                </c:pt>
                <c:pt idx="43">
                  <c:v>182910299.58569029</c:v>
                </c:pt>
                <c:pt idx="44">
                  <c:v>184069003.70045975</c:v>
                </c:pt>
                <c:pt idx="45">
                  <c:v>185227707.81522921</c:v>
                </c:pt>
                <c:pt idx="46">
                  <c:v>186386411.92999867</c:v>
                </c:pt>
                <c:pt idx="47">
                  <c:v>187545116.04476812</c:v>
                </c:pt>
                <c:pt idx="48">
                  <c:v>188703820.15953758</c:v>
                </c:pt>
                <c:pt idx="49">
                  <c:v>189862524.27430704</c:v>
                </c:pt>
              </c:numCache>
            </c:numRef>
          </c:cat>
          <c:val>
            <c:numRef>
              <c:f>Simulation!$F$202:$F$251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4</c:v>
                </c:pt>
                <c:pt idx="30">
                  <c:v>1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80-4B96-945B-06B120C31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736463"/>
        <c:axId val="765731471"/>
      </c:barChart>
      <c:catAx>
        <c:axId val="765736463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31471"/>
        <c:crosses val="autoZero"/>
        <c:auto val="1"/>
        <c:lblAlgn val="ctr"/>
        <c:lblOffset val="100"/>
        <c:noMultiLvlLbl val="0"/>
      </c:catAx>
      <c:valAx>
        <c:axId val="76573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73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Hisogram</a:t>
            </a:r>
            <a:r>
              <a:rPr lang="en-US" baseline="0"/>
              <a:t> of Simulated XNPV of South Asia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Risky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Simulation!$B$255:$B$304</c:f>
              <c:numCache>
                <c:formatCode>_("$"* #,##0.00_);_("$"* \(#,##0.00\);_("$"* "-"??_);_(@_)</c:formatCode>
                <c:ptCount val="50"/>
                <c:pt idx="0">
                  <c:v>6462790.554395631</c:v>
                </c:pt>
                <c:pt idx="1">
                  <c:v>11022792.355559709</c:v>
                </c:pt>
                <c:pt idx="2">
                  <c:v>15582794.156723786</c:v>
                </c:pt>
                <c:pt idx="3">
                  <c:v>20142795.957887866</c:v>
                </c:pt>
                <c:pt idx="4">
                  <c:v>24702797.759051941</c:v>
                </c:pt>
                <c:pt idx="5">
                  <c:v>29262799.560216017</c:v>
                </c:pt>
                <c:pt idx="6">
                  <c:v>33822801.361380093</c:v>
                </c:pt>
                <c:pt idx="7">
                  <c:v>38382803.162544169</c:v>
                </c:pt>
                <c:pt idx="8">
                  <c:v>42942804.963708244</c:v>
                </c:pt>
                <c:pt idx="9">
                  <c:v>47502806.76487232</c:v>
                </c:pt>
                <c:pt idx="10">
                  <c:v>52062808.566036396</c:v>
                </c:pt>
                <c:pt idx="11">
                  <c:v>56622810.367200471</c:v>
                </c:pt>
                <c:pt idx="12">
                  <c:v>61182812.168364547</c:v>
                </c:pt>
                <c:pt idx="13">
                  <c:v>65742813.969528623</c:v>
                </c:pt>
                <c:pt idx="14">
                  <c:v>70302815.770692706</c:v>
                </c:pt>
                <c:pt idx="15">
                  <c:v>74862817.571856782</c:v>
                </c:pt>
                <c:pt idx="16">
                  <c:v>79422819.373020858</c:v>
                </c:pt>
                <c:pt idx="17">
                  <c:v>83982821.174184933</c:v>
                </c:pt>
                <c:pt idx="18">
                  <c:v>88542822.975349009</c:v>
                </c:pt>
                <c:pt idx="19">
                  <c:v>93102824.776513085</c:v>
                </c:pt>
                <c:pt idx="20">
                  <c:v>97662826.577677161</c:v>
                </c:pt>
                <c:pt idx="21">
                  <c:v>102222828.37884124</c:v>
                </c:pt>
                <c:pt idx="22">
                  <c:v>106782830.18000531</c:v>
                </c:pt>
                <c:pt idx="23">
                  <c:v>111342831.98116939</c:v>
                </c:pt>
                <c:pt idx="24">
                  <c:v>115902833.78233346</c:v>
                </c:pt>
                <c:pt idx="25">
                  <c:v>120462835.58349754</c:v>
                </c:pt>
                <c:pt idx="26">
                  <c:v>125022837.38466161</c:v>
                </c:pt>
                <c:pt idx="27">
                  <c:v>129582839.18582569</c:v>
                </c:pt>
                <c:pt idx="28">
                  <c:v>134142840.98698977</c:v>
                </c:pt>
                <c:pt idx="29">
                  <c:v>138702842.78815386</c:v>
                </c:pt>
                <c:pt idx="30">
                  <c:v>143262844.58931795</c:v>
                </c:pt>
                <c:pt idx="31">
                  <c:v>147822846.39048204</c:v>
                </c:pt>
                <c:pt idx="32">
                  <c:v>152382848.19164613</c:v>
                </c:pt>
                <c:pt idx="33">
                  <c:v>156942849.99281022</c:v>
                </c:pt>
                <c:pt idx="34">
                  <c:v>161502851.79397431</c:v>
                </c:pt>
                <c:pt idx="35">
                  <c:v>166062853.5951384</c:v>
                </c:pt>
                <c:pt idx="36">
                  <c:v>170622855.39630249</c:v>
                </c:pt>
                <c:pt idx="37">
                  <c:v>175182857.19746658</c:v>
                </c:pt>
                <c:pt idx="38">
                  <c:v>179742858.99863067</c:v>
                </c:pt>
                <c:pt idx="39">
                  <c:v>184302860.79979476</c:v>
                </c:pt>
                <c:pt idx="40">
                  <c:v>188862862.60095885</c:v>
                </c:pt>
                <c:pt idx="41">
                  <c:v>193422864.40212294</c:v>
                </c:pt>
                <c:pt idx="42">
                  <c:v>197982866.20328704</c:v>
                </c:pt>
                <c:pt idx="43">
                  <c:v>202542868.00445113</c:v>
                </c:pt>
                <c:pt idx="44">
                  <c:v>207102869.80561522</c:v>
                </c:pt>
                <c:pt idx="45">
                  <c:v>211662871.60677931</c:v>
                </c:pt>
                <c:pt idx="46">
                  <c:v>216222873.4079434</c:v>
                </c:pt>
                <c:pt idx="47">
                  <c:v>220782875.20910749</c:v>
                </c:pt>
                <c:pt idx="48">
                  <c:v>225342877.01027158</c:v>
                </c:pt>
                <c:pt idx="49">
                  <c:v>229902878.81143567</c:v>
                </c:pt>
              </c:numCache>
            </c:numRef>
          </c:cat>
          <c:val>
            <c:numRef>
              <c:f>Simulation!$E$255:$E$304</c:f>
              <c:numCache>
                <c:formatCode>General</c:formatCode>
                <c:ptCount val="5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6</c:v>
                </c:pt>
                <c:pt idx="26">
                  <c:v>0</c:v>
                </c:pt>
                <c:pt idx="27">
                  <c:v>3</c:v>
                </c:pt>
                <c:pt idx="28">
                  <c:v>6</c:v>
                </c:pt>
                <c:pt idx="29">
                  <c:v>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2-412D-9902-5B2443877922}"/>
            </c:ext>
          </c:extLst>
        </c:ser>
        <c:ser>
          <c:idx val="1"/>
          <c:order val="1"/>
          <c:tx>
            <c:v>Non-Risky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Simulation!$B$255:$B$304</c:f>
              <c:numCache>
                <c:formatCode>_("$"* #,##0.00_);_("$"* \(#,##0.00\);_("$"* "-"??_);_(@_)</c:formatCode>
                <c:ptCount val="50"/>
                <c:pt idx="0">
                  <c:v>6462790.554395631</c:v>
                </c:pt>
                <c:pt idx="1">
                  <c:v>11022792.355559709</c:v>
                </c:pt>
                <c:pt idx="2">
                  <c:v>15582794.156723786</c:v>
                </c:pt>
                <c:pt idx="3">
                  <c:v>20142795.957887866</c:v>
                </c:pt>
                <c:pt idx="4">
                  <c:v>24702797.759051941</c:v>
                </c:pt>
                <c:pt idx="5">
                  <c:v>29262799.560216017</c:v>
                </c:pt>
                <c:pt idx="6">
                  <c:v>33822801.361380093</c:v>
                </c:pt>
                <c:pt idx="7">
                  <c:v>38382803.162544169</c:v>
                </c:pt>
                <c:pt idx="8">
                  <c:v>42942804.963708244</c:v>
                </c:pt>
                <c:pt idx="9">
                  <c:v>47502806.76487232</c:v>
                </c:pt>
                <c:pt idx="10">
                  <c:v>52062808.566036396</c:v>
                </c:pt>
                <c:pt idx="11">
                  <c:v>56622810.367200471</c:v>
                </c:pt>
                <c:pt idx="12">
                  <c:v>61182812.168364547</c:v>
                </c:pt>
                <c:pt idx="13">
                  <c:v>65742813.969528623</c:v>
                </c:pt>
                <c:pt idx="14">
                  <c:v>70302815.770692706</c:v>
                </c:pt>
                <c:pt idx="15">
                  <c:v>74862817.571856782</c:v>
                </c:pt>
                <c:pt idx="16">
                  <c:v>79422819.373020858</c:v>
                </c:pt>
                <c:pt idx="17">
                  <c:v>83982821.174184933</c:v>
                </c:pt>
                <c:pt idx="18">
                  <c:v>88542822.975349009</c:v>
                </c:pt>
                <c:pt idx="19">
                  <c:v>93102824.776513085</c:v>
                </c:pt>
                <c:pt idx="20">
                  <c:v>97662826.577677161</c:v>
                </c:pt>
                <c:pt idx="21">
                  <c:v>102222828.37884124</c:v>
                </c:pt>
                <c:pt idx="22">
                  <c:v>106782830.18000531</c:v>
                </c:pt>
                <c:pt idx="23">
                  <c:v>111342831.98116939</c:v>
                </c:pt>
                <c:pt idx="24">
                  <c:v>115902833.78233346</c:v>
                </c:pt>
                <c:pt idx="25">
                  <c:v>120462835.58349754</c:v>
                </c:pt>
                <c:pt idx="26">
                  <c:v>125022837.38466161</c:v>
                </c:pt>
                <c:pt idx="27">
                  <c:v>129582839.18582569</c:v>
                </c:pt>
                <c:pt idx="28">
                  <c:v>134142840.98698977</c:v>
                </c:pt>
                <c:pt idx="29">
                  <c:v>138702842.78815386</c:v>
                </c:pt>
                <c:pt idx="30">
                  <c:v>143262844.58931795</c:v>
                </c:pt>
                <c:pt idx="31">
                  <c:v>147822846.39048204</c:v>
                </c:pt>
                <c:pt idx="32">
                  <c:v>152382848.19164613</c:v>
                </c:pt>
                <c:pt idx="33">
                  <c:v>156942849.99281022</c:v>
                </c:pt>
                <c:pt idx="34">
                  <c:v>161502851.79397431</c:v>
                </c:pt>
                <c:pt idx="35">
                  <c:v>166062853.5951384</c:v>
                </c:pt>
                <c:pt idx="36">
                  <c:v>170622855.39630249</c:v>
                </c:pt>
                <c:pt idx="37">
                  <c:v>175182857.19746658</c:v>
                </c:pt>
                <c:pt idx="38">
                  <c:v>179742858.99863067</c:v>
                </c:pt>
                <c:pt idx="39">
                  <c:v>184302860.79979476</c:v>
                </c:pt>
                <c:pt idx="40">
                  <c:v>188862862.60095885</c:v>
                </c:pt>
                <c:pt idx="41">
                  <c:v>193422864.40212294</c:v>
                </c:pt>
                <c:pt idx="42">
                  <c:v>197982866.20328704</c:v>
                </c:pt>
                <c:pt idx="43">
                  <c:v>202542868.00445113</c:v>
                </c:pt>
                <c:pt idx="44">
                  <c:v>207102869.80561522</c:v>
                </c:pt>
                <c:pt idx="45">
                  <c:v>211662871.60677931</c:v>
                </c:pt>
                <c:pt idx="46">
                  <c:v>216222873.4079434</c:v>
                </c:pt>
                <c:pt idx="47">
                  <c:v>220782875.20910749</c:v>
                </c:pt>
                <c:pt idx="48">
                  <c:v>225342877.01027158</c:v>
                </c:pt>
                <c:pt idx="49">
                  <c:v>229902878.81143567</c:v>
                </c:pt>
              </c:numCache>
            </c:numRef>
          </c:cat>
          <c:val>
            <c:numRef>
              <c:f>Simulation!$F$255:$F$304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3</c:v>
                </c:pt>
                <c:pt idx="36">
                  <c:v>2</c:v>
                </c:pt>
                <c:pt idx="37">
                  <c:v>5</c:v>
                </c:pt>
                <c:pt idx="38">
                  <c:v>4</c:v>
                </c:pt>
                <c:pt idx="39">
                  <c:v>3</c:v>
                </c:pt>
                <c:pt idx="40">
                  <c:v>1</c:v>
                </c:pt>
                <c:pt idx="41">
                  <c:v>1</c:v>
                </c:pt>
                <c:pt idx="42">
                  <c:v>4</c:v>
                </c:pt>
                <c:pt idx="43">
                  <c:v>1</c:v>
                </c:pt>
                <c:pt idx="44">
                  <c:v>0</c:v>
                </c:pt>
                <c:pt idx="45">
                  <c:v>3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2-412D-9902-5B2443877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463311"/>
        <c:axId val="221463727"/>
      </c:barChart>
      <c:catAx>
        <c:axId val="221463311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3727"/>
        <c:crosses val="autoZero"/>
        <c:auto val="1"/>
        <c:lblAlgn val="ctr"/>
        <c:lblOffset val="100"/>
        <c:noMultiLvlLbl val="0"/>
      </c:catAx>
      <c:valAx>
        <c:axId val="22146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63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2.wdp"/><Relationship Id="rId5" Type="http://schemas.openxmlformats.org/officeDocument/2006/relationships/image" Target="../media/image3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347384</xdr:colOff>
      <xdr:row>13</xdr:row>
      <xdr:rowOff>145677</xdr:rowOff>
    </xdr:from>
    <xdr:to>
      <xdr:col>17</xdr:col>
      <xdr:colOff>224118</xdr:colOff>
      <xdr:row>39</xdr:row>
      <xdr:rowOff>67236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34B51E-9F9B-486E-A704-B68137888B68}"/>
            </a:ext>
          </a:extLst>
        </xdr:cNvPr>
        <xdr:cNvSpPr/>
      </xdr:nvSpPr>
      <xdr:spPr>
        <a:xfrm>
          <a:off x="9670678" y="2868706"/>
          <a:ext cx="11362764" cy="4975412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358588</xdr:colOff>
      <xdr:row>4</xdr:row>
      <xdr:rowOff>11205</xdr:rowOff>
    </xdr:from>
    <xdr:to>
      <xdr:col>12</xdr:col>
      <xdr:colOff>89646</xdr:colOff>
      <xdr:row>13</xdr:row>
      <xdr:rowOff>89647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924409F-0559-4AC9-AF9C-505352D80DDC}"/>
            </a:ext>
          </a:extLst>
        </xdr:cNvPr>
        <xdr:cNvSpPr/>
      </xdr:nvSpPr>
      <xdr:spPr>
        <a:xfrm>
          <a:off x="9681882" y="918881"/>
          <a:ext cx="4291852" cy="1893795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201706</xdr:colOff>
      <xdr:row>4</xdr:row>
      <xdr:rowOff>11206</xdr:rowOff>
    </xdr:from>
    <xdr:to>
      <xdr:col>16</xdr:col>
      <xdr:colOff>145677</xdr:colOff>
      <xdr:row>13</xdr:row>
      <xdr:rowOff>89647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586020-6514-7B82-6C01-4BBA11985D66}"/>
            </a:ext>
          </a:extLst>
        </xdr:cNvPr>
        <xdr:cNvSpPr/>
      </xdr:nvSpPr>
      <xdr:spPr>
        <a:xfrm>
          <a:off x="13021235" y="918882"/>
          <a:ext cx="5782236" cy="1893794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280148</xdr:colOff>
      <xdr:row>4</xdr:row>
      <xdr:rowOff>56030</xdr:rowOff>
    </xdr:from>
    <xdr:to>
      <xdr:col>8</xdr:col>
      <xdr:colOff>235324</xdr:colOff>
      <xdr:row>17</xdr:row>
      <xdr:rowOff>78442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311D7A41-8543-43BE-96CF-3DD5375A7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291354</xdr:colOff>
      <xdr:row>17</xdr:row>
      <xdr:rowOff>123265</xdr:rowOff>
    </xdr:from>
    <xdr:to>
      <xdr:col>8</xdr:col>
      <xdr:colOff>235324</xdr:colOff>
      <xdr:row>31</xdr:row>
      <xdr:rowOff>67236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EC4703FB-BDFE-4008-B59A-149233BB5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638736</xdr:colOff>
      <xdr:row>4</xdr:row>
      <xdr:rowOff>0</xdr:rowOff>
    </xdr:from>
    <xdr:to>
      <xdr:col>3</xdr:col>
      <xdr:colOff>145677</xdr:colOff>
      <xdr:row>14</xdr:row>
      <xdr:rowOff>22412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7125BAE-9146-45F0-8ADB-3DBA0B1A96FD}"/>
            </a:ext>
          </a:extLst>
        </xdr:cNvPr>
        <xdr:cNvSpPr/>
      </xdr:nvSpPr>
      <xdr:spPr>
        <a:xfrm>
          <a:off x="638736" y="907676"/>
          <a:ext cx="2891117" cy="2028265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638736</xdr:colOff>
      <xdr:row>14</xdr:row>
      <xdr:rowOff>100853</xdr:rowOff>
    </xdr:from>
    <xdr:to>
      <xdr:col>3</xdr:col>
      <xdr:colOff>168090</xdr:colOff>
      <xdr:row>22</xdr:row>
      <xdr:rowOff>56030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361E091-160E-40F1-B27D-A53F5A856702}"/>
            </a:ext>
          </a:extLst>
        </xdr:cNvPr>
        <xdr:cNvSpPr/>
      </xdr:nvSpPr>
      <xdr:spPr>
        <a:xfrm>
          <a:off x="638736" y="3014382"/>
          <a:ext cx="2913530" cy="1580030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611842</xdr:colOff>
      <xdr:row>22</xdr:row>
      <xdr:rowOff>163606</xdr:rowOff>
    </xdr:from>
    <xdr:to>
      <xdr:col>3</xdr:col>
      <xdr:colOff>145678</xdr:colOff>
      <xdr:row>31</xdr:row>
      <xdr:rowOff>33618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72BF057-8109-4F26-90FD-3540191C31FB}"/>
            </a:ext>
          </a:extLst>
        </xdr:cNvPr>
        <xdr:cNvSpPr/>
      </xdr:nvSpPr>
      <xdr:spPr>
        <a:xfrm>
          <a:off x="611842" y="4701988"/>
          <a:ext cx="2918012" cy="1584512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607359</xdr:colOff>
      <xdr:row>31</xdr:row>
      <xdr:rowOff>147917</xdr:rowOff>
    </xdr:from>
    <xdr:to>
      <xdr:col>3</xdr:col>
      <xdr:colOff>190500</xdr:colOff>
      <xdr:row>38</xdr:row>
      <xdr:rowOff>78442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10795CE-DDA8-458C-A01E-4BADF7BA9205}"/>
            </a:ext>
          </a:extLst>
        </xdr:cNvPr>
        <xdr:cNvSpPr/>
      </xdr:nvSpPr>
      <xdr:spPr>
        <a:xfrm>
          <a:off x="607359" y="6400799"/>
          <a:ext cx="2967317" cy="1264025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257736</xdr:colOff>
      <xdr:row>31</xdr:row>
      <xdr:rowOff>123265</xdr:rowOff>
    </xdr:from>
    <xdr:to>
      <xdr:col>8</xdr:col>
      <xdr:colOff>302558</xdr:colOff>
      <xdr:row>38</xdr:row>
      <xdr:rowOff>100854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7192108-9DE4-45A0-91C2-E22B94D9F5EC}"/>
            </a:ext>
          </a:extLst>
        </xdr:cNvPr>
        <xdr:cNvSpPr/>
      </xdr:nvSpPr>
      <xdr:spPr>
        <a:xfrm>
          <a:off x="3641912" y="6376147"/>
          <a:ext cx="5983940" cy="1311089"/>
        </a:xfrm>
        <a:prstGeom prst="roundRect">
          <a:avLst/>
        </a:prstGeom>
        <a:gradFill flip="none" rotWithShape="1">
          <a:gsLst>
            <a:gs pos="0">
              <a:srgbClr val="990033">
                <a:alpha val="25000"/>
                <a:lumMod val="85000"/>
                <a:lumOff val="15000"/>
              </a:srgbClr>
            </a:gs>
            <a:gs pos="100000">
              <a:schemeClr val="tx1">
                <a:alpha val="0"/>
              </a:schemeClr>
            </a:gs>
          </a:gsLst>
          <a:lin ang="2700000" scaled="1"/>
          <a:tileRect/>
        </a:gradFill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941292</xdr:colOff>
      <xdr:row>0</xdr:row>
      <xdr:rowOff>0</xdr:rowOff>
    </xdr:from>
    <xdr:to>
      <xdr:col>11</xdr:col>
      <xdr:colOff>844065</xdr:colOff>
      <xdr:row>4</xdr:row>
      <xdr:rowOff>112059</xdr:rowOff>
    </xdr:to>
    <xdr:pic>
      <xdr:nvPicPr>
        <xdr:cNvPr id="16" name="Picture 15" descr="netflix logo icon PNG image with transparent background | TOPpng">
          <a:extLst>
            <a:ext uri="{FF2B5EF4-FFF2-40B4-BE49-F238E27FC236}">
              <a16:creationId xmlns:a16="http://schemas.microsoft.com/office/drawing/2014/main" id="{68B7D838-A8B6-76CD-DEAC-C39DBDCA2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>
                      <a14:backgroundMark x1="86486" y1="20264" x2="86486" y2="20264"/>
                      <a14:backgroundMark x1="90090" y1="12775" x2="70270" y2="1277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1998" y="0"/>
          <a:ext cx="989743" cy="101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</xdr:colOff>
      <xdr:row>0</xdr:row>
      <xdr:rowOff>112060</xdr:rowOff>
    </xdr:from>
    <xdr:to>
      <xdr:col>6</xdr:col>
      <xdr:colOff>751855</xdr:colOff>
      <xdr:row>3</xdr:row>
      <xdr:rowOff>150937</xdr:rowOff>
    </xdr:to>
    <xdr:pic>
      <xdr:nvPicPr>
        <xdr:cNvPr id="17" name="Picture 16" descr="Spartan Venture Fund Profile: Investments &amp; Returns | PitchBook">
          <a:extLst>
            <a:ext uri="{FF2B5EF4-FFF2-40B4-BE49-F238E27FC236}">
              <a16:creationId xmlns:a16="http://schemas.microsoft.com/office/drawing/2014/main" id="{2FECF4FA-34BC-C370-460E-1D3E9C88A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2500" b="90000" l="10000" r="90000">
                      <a14:foregroundMark x1="67500" y1="38000" x2="67500" y2="38000"/>
                      <a14:foregroundMark x1="73500" y1="23500" x2="73500" y2="23500"/>
                      <a14:foregroundMark x1="64500" y1="13000" x2="64500" y2="13000"/>
                      <a14:foregroundMark x1="35000" y1="13000" x2="35000" y2="13000"/>
                      <a14:foregroundMark x1="50000" y1="7000" x2="50000" y2="7000"/>
                      <a14:foregroundMark x1="51500" y1="2500" x2="51500" y2="2500"/>
                      <a14:foregroundMark x1="29500" y1="33500" x2="29500" y2="33500"/>
                      <a14:foregroundMark x1="29500" y1="23000" x2="29500" y2="23000"/>
                      <a14:foregroundMark x1="21500" y1="46500" x2="21500" y2="46500"/>
                      <a14:foregroundMark x1="29500" y1="44500" x2="29500" y2="44500"/>
                      <a14:foregroundMark x1="25000" y1="55000" x2="25000" y2="55000"/>
                      <a14:foregroundMark x1="29500" y1="62500" x2="29500" y2="62500"/>
                      <a14:foregroundMark x1="30000" y1="76500" x2="30000" y2="76500"/>
                      <a14:foregroundMark x1="67000" y1="78000" x2="67000" y2="78000"/>
                      <a14:foregroundMark x1="74500" y1="64500" x2="74500" y2="64500"/>
                      <a14:foregroundMark x1="72500" y1="53500" x2="72500" y2="53500"/>
                      <a14:foregroundMark x1="73000" y1="44500" x2="73000" y2="44500"/>
                      <a14:foregroundMark x1="78000" y1="48500" x2="78000" y2="48500"/>
                      <a14:foregroundMark x1="78000" y1="55000" x2="78000" y2="55000"/>
                      <a14:backgroundMark x1="73000" y1="53000" x2="73000" y2="53000"/>
                      <a14:backgroundMark x1="73000" y1="53000" x2="73000" y2="53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3" y="112060"/>
          <a:ext cx="751852" cy="756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342899</xdr:colOff>
      <xdr:row>3</xdr:row>
      <xdr:rowOff>0</xdr:rowOff>
    </xdr:from>
    <xdr:to>
      <xdr:col>15</xdr:col>
      <xdr:colOff>152399</xdr:colOff>
      <xdr:row>10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90CFEC-BB32-60BE-5B40-A70FA6C106CD}"/>
            </a:ext>
          </a:extLst>
        </xdr:cNvPr>
        <xdr:cNvSpPr txBox="1"/>
      </xdr:nvSpPr>
      <xdr:spPr>
        <a:xfrm>
          <a:off x="3943349" y="723900"/>
          <a:ext cx="10277475" cy="1409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The marketing expenditure will start on 12/31/2025. Net working capital and capital expenditure associated with the marketing costs are:</a:t>
          </a:r>
        </a:p>
        <a:p>
          <a:endParaRPr lang="en-US"/>
        </a:p>
        <a:p>
          <a:pPr>
            <a:buFont typeface="Arial" panose="020B0604020202020204" pitchFamily="34" charset="0"/>
            <a:buChar char="•"/>
          </a:pPr>
          <a:r>
            <a:rPr lang="en-US">
              <a:solidFill>
                <a:srgbClr val="FF0000"/>
              </a:solidFill>
            </a:rPr>
            <a:t>Net working capital is 2% of next year’s revenue.</a:t>
          </a:r>
        </a:p>
        <a:p>
          <a:endParaRPr lang="en-US">
            <a:solidFill>
              <a:srgbClr val="FF0000"/>
            </a:solidFill>
          </a:endParaRPr>
        </a:p>
        <a:p>
          <a:pPr>
            <a:buFont typeface="Arial" panose="020B0604020202020204" pitchFamily="34" charset="0"/>
            <a:buChar char="•"/>
          </a:pPr>
          <a:r>
            <a:rPr lang="en-US">
              <a:solidFill>
                <a:srgbClr val="FF0000"/>
              </a:solidFill>
            </a:rPr>
            <a:t>Initial capital expenditure is 1% of next year’s revenue. The capital expenditure will be depreciated using straight-line method over 7 years</a:t>
          </a:r>
          <a:r>
            <a:rPr lang="en-US"/>
            <a:t>. We expect that there will be no additional capital expenditure over the life of the project. </a:t>
          </a:r>
          <a:r>
            <a:rPr lang="en-US">
              <a:solidFill>
                <a:srgbClr val="FF0000"/>
              </a:solidFill>
            </a:rPr>
            <a:t>At the end of the project life, expect to sell at book value.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821391</xdr:colOff>
      <xdr:row>3</xdr:row>
      <xdr:rowOff>3361</xdr:rowOff>
    </xdr:from>
    <xdr:to>
      <xdr:col>14</xdr:col>
      <xdr:colOff>505386</xdr:colOff>
      <xdr:row>9</xdr:row>
      <xdr:rowOff>108136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A55BFE-24D8-DED4-F868-DC8187DB4BA0}"/>
            </a:ext>
          </a:extLst>
        </xdr:cNvPr>
        <xdr:cNvSpPr txBox="1"/>
      </xdr:nvSpPr>
      <xdr:spPr>
        <a:xfrm>
          <a:off x="11511803" y="574861"/>
          <a:ext cx="6004112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The proposal calls for </a:t>
          </a:r>
          <a:r>
            <a:rPr lang="en-US" b="1">
              <a:solidFill>
                <a:srgbClr val="FF0000"/>
              </a:solidFill>
            </a:rPr>
            <a:t>debt issuance (CapEx) </a:t>
          </a:r>
          <a:r>
            <a:rPr lang="en-US"/>
            <a:t>to finance the project. Spartan Ventures will issue the bond. </a:t>
          </a:r>
          <a:r>
            <a:rPr lang="en-US" b="1">
              <a:solidFill>
                <a:srgbClr val="FF0000"/>
              </a:solidFill>
            </a:rPr>
            <a:t>The project will be financed using a 30-year 4.875% interest-only bond </a:t>
          </a:r>
          <a:r>
            <a:rPr lang="en-US"/>
            <a:t>issued on December 31st, 2023, at par with the highest bond ratings. </a:t>
          </a:r>
          <a:r>
            <a:rPr lang="en-US" b="1">
              <a:solidFill>
                <a:srgbClr val="FF0000"/>
              </a:solidFill>
            </a:rPr>
            <a:t>The coupons are payable every December. (Annual) </a:t>
          </a:r>
          <a:r>
            <a:rPr lang="en-US"/>
            <a:t> Any debt will be issued in New York and will be denominated in USD. The bond will be retired at the end of the project’s life. The bond will be </a:t>
          </a:r>
          <a:r>
            <a:rPr lang="en-US" b="1">
              <a:solidFill>
                <a:srgbClr val="FF0000"/>
              </a:solidFill>
            </a:rPr>
            <a:t>retired at 110% of face value at the end of the life of the project. </a:t>
          </a:r>
          <a:r>
            <a:rPr lang="en-US"/>
            <a:t>The size of the debt issuance will depend on the funding need. </a:t>
          </a:r>
          <a:r>
            <a:rPr lang="en-US" b="1">
              <a:solidFill>
                <a:srgbClr val="FF0000"/>
              </a:solidFill>
            </a:rPr>
            <a:t>Assume that the 4.875% rate is fixed.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918481</xdr:colOff>
      <xdr:row>147</xdr:row>
      <xdr:rowOff>12247</xdr:rowOff>
    </xdr:from>
    <xdr:to>
      <xdr:col>15</xdr:col>
      <xdr:colOff>204106</xdr:colOff>
      <xdr:row>177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D2874-7779-4D7B-B08A-C1F122EE2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1272266</xdr:colOff>
      <xdr:row>204</xdr:row>
      <xdr:rowOff>111577</xdr:rowOff>
    </xdr:from>
    <xdr:to>
      <xdr:col>14</xdr:col>
      <xdr:colOff>272141</xdr:colOff>
      <xdr:row>230</xdr:row>
      <xdr:rowOff>13607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982B259-A44B-34AA-5A83-A530A6560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306158</xdr:colOff>
      <xdr:row>254</xdr:row>
      <xdr:rowOff>2721</xdr:rowOff>
    </xdr:from>
    <xdr:to>
      <xdr:col>15</xdr:col>
      <xdr:colOff>54428</xdr:colOff>
      <xdr:row>280</xdr:row>
      <xdr:rowOff>13607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33F409A-DE5F-72C1-175F-AB6E5C266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342899</xdr:colOff>
      <xdr:row>3</xdr:row>
      <xdr:rowOff>0</xdr:rowOff>
    </xdr:from>
    <xdr:to>
      <xdr:col>15</xdr:col>
      <xdr:colOff>152399</xdr:colOff>
      <xdr:row>10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5C2AD20-9160-4B88-9AD0-4B225081399E}"/>
            </a:ext>
          </a:extLst>
        </xdr:cNvPr>
        <xdr:cNvSpPr txBox="1"/>
      </xdr:nvSpPr>
      <xdr:spPr>
        <a:xfrm>
          <a:off x="5067299" y="609600"/>
          <a:ext cx="11098530" cy="1308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The marketing expenditure will start on 12/31/2025. Net working capital and capital expenditure associated with the marketing costs are:</a:t>
          </a:r>
        </a:p>
        <a:p>
          <a:endParaRPr lang="en-US"/>
        </a:p>
        <a:p>
          <a:pPr>
            <a:buFont typeface="Arial" panose="020B0604020202020204" pitchFamily="34" charset="0"/>
            <a:buChar char="•"/>
          </a:pPr>
          <a:r>
            <a:rPr lang="en-US">
              <a:solidFill>
                <a:srgbClr val="FF0000"/>
              </a:solidFill>
            </a:rPr>
            <a:t>Net working capital is 2% of next year’s revenue.</a:t>
          </a:r>
        </a:p>
        <a:p>
          <a:endParaRPr lang="en-US">
            <a:solidFill>
              <a:srgbClr val="FF0000"/>
            </a:solidFill>
          </a:endParaRPr>
        </a:p>
        <a:p>
          <a:pPr>
            <a:buFont typeface="Arial" panose="020B0604020202020204" pitchFamily="34" charset="0"/>
            <a:buChar char="•"/>
          </a:pPr>
          <a:r>
            <a:rPr lang="en-US">
              <a:solidFill>
                <a:srgbClr val="FF0000"/>
              </a:solidFill>
            </a:rPr>
            <a:t>Initial capital expenditure is 1% of next year’s revenue. The capital expenditure will be depreciated using straight-line method over 7 years</a:t>
          </a:r>
          <a:r>
            <a:rPr lang="en-US"/>
            <a:t>. We expect that there will be no additional capital expenditure over the life of the project. </a:t>
          </a:r>
          <a:r>
            <a:rPr lang="en-US">
              <a:solidFill>
                <a:srgbClr val="FF0000"/>
              </a:solidFill>
            </a:rPr>
            <a:t>At the end of the project life, expect to sell at book value.</a:t>
          </a:r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2</xdr:row>
      <xdr:rowOff>171450</xdr:rowOff>
    </xdr:from>
    <xdr:to>
      <xdr:col>10</xdr:col>
      <xdr:colOff>247650</xdr:colOff>
      <xdr:row>12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02BD46E-1530-4621-881E-2C8DCD4141C6}"/>
            </a:ext>
          </a:extLst>
        </xdr:cNvPr>
        <xdr:cNvSpPr txBox="1"/>
      </xdr:nvSpPr>
      <xdr:spPr>
        <a:xfrm>
          <a:off x="7574280" y="537210"/>
          <a:ext cx="6560820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The proposal calls for </a:t>
          </a:r>
          <a:r>
            <a:rPr lang="en-US" b="1">
              <a:solidFill>
                <a:srgbClr val="FF0000"/>
              </a:solidFill>
            </a:rPr>
            <a:t>debt issuance (CapEx) </a:t>
          </a:r>
          <a:r>
            <a:rPr lang="en-US"/>
            <a:t>to finance the project. Spartan Ventures will issue the bond. </a:t>
          </a:r>
          <a:r>
            <a:rPr lang="en-US" b="1">
              <a:solidFill>
                <a:srgbClr val="FF0000"/>
              </a:solidFill>
            </a:rPr>
            <a:t>The project will be financed using a 30-year 4.875% interest-only bond </a:t>
          </a:r>
          <a:r>
            <a:rPr lang="en-US"/>
            <a:t>issued on December 31st, 2023, at par with the highest bond ratings. </a:t>
          </a:r>
          <a:r>
            <a:rPr lang="en-US" b="1">
              <a:solidFill>
                <a:srgbClr val="FF0000"/>
              </a:solidFill>
            </a:rPr>
            <a:t>The coupons are payable every December. (Annual) </a:t>
          </a:r>
          <a:r>
            <a:rPr lang="en-US"/>
            <a:t> Any debt will be issued in New York and will be denominated in USD. The bond will be retired at the end of the project’s life. The bond will be </a:t>
          </a:r>
          <a:r>
            <a:rPr lang="en-US" b="1">
              <a:solidFill>
                <a:srgbClr val="FF0000"/>
              </a:solidFill>
            </a:rPr>
            <a:t>retired at 110% of face value at the end of the life of the project. </a:t>
          </a:r>
          <a:r>
            <a:rPr lang="en-US"/>
            <a:t>The size of the debt issuance will depend on the funding need. </a:t>
          </a:r>
          <a:r>
            <a:rPr lang="en-US" b="1">
              <a:solidFill>
                <a:srgbClr val="FF0000"/>
              </a:solidFill>
            </a:rPr>
            <a:t>Assume that the 4.875% rate is fixed.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FB7C3-7944-4F72-B453-1D12BBA38CB9}">
  <sheetPr codeName="Sheet1"/>
  <dimension ref="A1:D40"/>
  <sheetViews>
    <sheetView showGridLines="0" workbookViewId="0"/>
  </sheetViews>
  <sheetFormatPr defaultRowHeight="15" x14ac:dyDescent="0.25"/>
  <cols>
    <col min="1" max="1" width="15" bestFit="1" customWidth="1"/>
  </cols>
  <sheetData>
    <row r="1" spans="1:1" s="169" customFormat="1" x14ac:dyDescent="0.25"/>
    <row r="2" spans="1:1" s="169" customFormat="1" x14ac:dyDescent="0.25"/>
    <row r="3" spans="1:1" x14ac:dyDescent="0.25">
      <c r="A3" s="166" t="s">
        <v>153</v>
      </c>
    </row>
    <row r="4" spans="1:1" x14ac:dyDescent="0.25">
      <c r="A4" s="102" t="s">
        <v>4</v>
      </c>
    </row>
    <row r="5" spans="1:1" x14ac:dyDescent="0.25">
      <c r="A5" s="102" t="s">
        <v>0</v>
      </c>
    </row>
    <row r="6" spans="1:1" x14ac:dyDescent="0.25">
      <c r="A6" s="102" t="s">
        <v>1</v>
      </c>
    </row>
    <row r="7" spans="1:1" x14ac:dyDescent="0.25">
      <c r="A7" s="102" t="s">
        <v>2</v>
      </c>
    </row>
    <row r="8" spans="1:1" x14ac:dyDescent="0.25">
      <c r="A8" s="102" t="s">
        <v>3</v>
      </c>
    </row>
    <row r="9" spans="1:1" x14ac:dyDescent="0.25">
      <c r="A9" s="102" t="s">
        <v>149</v>
      </c>
    </row>
    <row r="10" spans="1:1" ht="15.75" x14ac:dyDescent="0.25">
      <c r="A10" s="1" t="s">
        <v>161</v>
      </c>
    </row>
    <row r="11" spans="1:1" x14ac:dyDescent="0.25">
      <c r="A11" s="102" t="s">
        <v>150</v>
      </c>
    </row>
    <row r="12" spans="1:1" ht="15.75" x14ac:dyDescent="0.25">
      <c r="A12" s="1" t="s">
        <v>164</v>
      </c>
    </row>
    <row r="13" spans="1:1" ht="15.75" x14ac:dyDescent="0.25">
      <c r="A13" s="1" t="s">
        <v>165</v>
      </c>
    </row>
    <row r="14" spans="1:1" ht="15.75" x14ac:dyDescent="0.25">
      <c r="A14" s="1" t="s">
        <v>166</v>
      </c>
    </row>
    <row r="40" spans="4:4" ht="15.75" x14ac:dyDescent="0.25">
      <c r="D40" s="2"/>
    </row>
  </sheetData>
  <hyperlinks>
    <hyperlink ref="A3" location="'ID Sheet'!A1" display="'ID Sheet'!A1" xr:uid="{3C02B636-3A8D-4D52-AF8C-7B9FACAFB4D4}"/>
    <hyperlink ref="A5" location="Dashboard!A1" display="Dashboard" xr:uid="{AEA8ADE1-B290-477A-8B82-3017437BC244}"/>
    <hyperlink ref="A4" location="'Grader''s Guide'!A1" display="Grader's Guide" xr:uid="{1F0948FA-9B74-4964-9B6E-A3BC1380FEBA}"/>
    <hyperlink ref="A7" location="'CapEx &amp; Depreciation'!A1" display="CapEx &amp; Dep" xr:uid="{A6C0205F-0EEA-41E5-B2FA-F787F99FD69E}"/>
    <hyperlink ref="A6" location="DCF!A1" display="DCF" xr:uid="{A24239FA-FFF8-490F-93B0-348FD4A74CB3}"/>
    <hyperlink ref="A8" location="Financing!A1" display="Financing" xr:uid="{3931675C-29DE-494E-B378-AB9A3510B254}"/>
    <hyperlink ref="A9" location="Simulation!A1" display="Simulation" xr:uid="{DD806CF4-A154-4A07-A18F-FA86955C5C21}"/>
    <hyperlink ref="A11" location="Data!A1" display="Data" xr:uid="{A7F7444F-6724-4639-B9D0-0B7BC908C18F}"/>
    <hyperlink ref="A12" location="'DCF Static'!A1" display="DCF Static" xr:uid="{2D0DB248-E216-48FC-9F04-1A2345E04829}"/>
    <hyperlink ref="A13" location="'CapEx &amp; Depreciation Static'!A1" display="CapEx &amp; Dep Static" xr:uid="{A7981791-8702-4C84-BEEA-DDA9B45183BC}"/>
    <hyperlink ref="A14" location="'Financing Static'!A1" display="Financing Static" xr:uid="{82AD2D5E-9B63-41D8-9E29-22A3B35A52D3}"/>
    <hyperlink ref="A10" location="'Sensitivity Analysis'!A1" display="Sensitivity Analysis" xr:uid="{581B9A7B-F8DB-40B3-8C2B-BD0E932EAB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150D1-FC87-48FB-9F13-C4A791CA0C73}">
  <sheetPr codeName="Sheet4">
    <pageSetUpPr fitToPage="1"/>
  </sheetPr>
  <dimension ref="A1:Z50"/>
  <sheetViews>
    <sheetView showGridLines="0" tabSelected="1" zoomScale="85" zoomScaleNormal="85" zoomScalePageLayoutView="85" workbookViewId="0">
      <selection activeCell="F38" sqref="F38"/>
    </sheetView>
  </sheetViews>
  <sheetFormatPr defaultRowHeight="15" x14ac:dyDescent="0.25"/>
  <cols>
    <col min="1" max="1" width="12.7109375" bestFit="1" customWidth="1"/>
    <col min="2" max="2" width="21.5703125" bestFit="1" customWidth="1"/>
    <col min="3" max="3" width="16.42578125" bestFit="1" customWidth="1"/>
    <col min="5" max="5" width="24.42578125" bestFit="1" customWidth="1"/>
    <col min="6" max="6" width="18.5703125" bestFit="1" customWidth="1"/>
    <col min="7" max="7" width="20.5703125" bestFit="1" customWidth="1"/>
    <col min="8" max="8" width="16.42578125" bestFit="1" customWidth="1"/>
    <col min="9" max="9" width="7.5703125" customWidth="1"/>
    <col min="10" max="10" width="21.28515625" bestFit="1" customWidth="1"/>
    <col min="11" max="11" width="16.28515625" bestFit="1" customWidth="1"/>
    <col min="12" max="12" width="23.140625" customWidth="1"/>
    <col min="13" max="13" width="18.42578125" bestFit="1" customWidth="1"/>
    <col min="14" max="14" width="21.28515625" bestFit="1" customWidth="1"/>
    <col min="15" max="15" width="16.28515625" bestFit="1" customWidth="1"/>
    <col min="16" max="16" width="31.42578125" bestFit="1" customWidth="1"/>
    <col min="17" max="17" width="16.28515625" bestFit="1" customWidth="1"/>
    <col min="22" max="23" width="9.42578125" bestFit="1" customWidth="1"/>
    <col min="24" max="24" width="7.42578125" customWidth="1"/>
  </cols>
  <sheetData>
    <row r="1" spans="1:26" x14ac:dyDescent="0.25">
      <c r="A1" s="168" t="s">
        <v>5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</row>
    <row r="2" spans="1:26" x14ac:dyDescent="0.25">
      <c r="A2" s="246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26" ht="26.25" x14ac:dyDescent="0.4">
      <c r="A3" s="306" t="s">
        <v>132</v>
      </c>
      <c r="B3" s="306"/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227"/>
      <c r="R3" s="227"/>
      <c r="S3" s="227"/>
      <c r="T3" s="227"/>
      <c r="U3" s="227"/>
      <c r="V3" s="227"/>
      <c r="W3" s="227"/>
      <c r="X3" s="227"/>
      <c r="Y3" s="227"/>
      <c r="Z3" s="227"/>
    </row>
    <row r="4" spans="1:26" x14ac:dyDescent="0.25">
      <c r="A4" s="209"/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</row>
    <row r="5" spans="1:26" ht="23.25" x14ac:dyDescent="0.35">
      <c r="A5" s="209"/>
      <c r="B5" s="305" t="s">
        <v>95</v>
      </c>
      <c r="C5" s="305"/>
      <c r="D5" s="244"/>
      <c r="E5" s="307" t="s">
        <v>172</v>
      </c>
      <c r="F5" s="307"/>
      <c r="G5" s="307"/>
      <c r="H5" s="307"/>
      <c r="I5" s="228"/>
      <c r="J5" s="308" t="s">
        <v>23</v>
      </c>
      <c r="K5" s="308"/>
      <c r="L5" s="308"/>
      <c r="M5" s="308"/>
      <c r="N5" s="308" t="s">
        <v>171</v>
      </c>
      <c r="O5" s="308"/>
      <c r="P5" s="308"/>
      <c r="Q5" s="308"/>
      <c r="R5" s="209"/>
    </row>
    <row r="6" spans="1:26" x14ac:dyDescent="0.25">
      <c r="A6" s="209"/>
      <c r="B6" s="303" t="s">
        <v>170</v>
      </c>
      <c r="C6" s="303"/>
      <c r="D6" s="209"/>
      <c r="E6" s="209"/>
      <c r="F6" s="209"/>
      <c r="G6" s="209"/>
      <c r="H6" s="209"/>
      <c r="J6" s="230" t="s">
        <v>9</v>
      </c>
      <c r="K6" s="231">
        <f>Data!D5</f>
        <v>277135257</v>
      </c>
      <c r="N6" s="230" t="s">
        <v>9</v>
      </c>
      <c r="O6" s="217">
        <f>Data!D12</f>
        <v>115094325</v>
      </c>
      <c r="Q6" s="209"/>
      <c r="R6" s="210"/>
    </row>
    <row r="7" spans="1:26" x14ac:dyDescent="0.25">
      <c r="A7" s="209"/>
      <c r="B7" s="209" t="s">
        <v>134</v>
      </c>
      <c r="C7" s="209"/>
      <c r="D7" s="209"/>
      <c r="E7" s="209"/>
      <c r="F7" s="209"/>
      <c r="G7" s="209"/>
      <c r="H7" s="209"/>
      <c r="J7" s="230" t="s">
        <v>11</v>
      </c>
      <c r="K7" s="231">
        <f>Data!D7</f>
        <v>433748762</v>
      </c>
      <c r="N7" s="230" t="s">
        <v>11</v>
      </c>
      <c r="O7" s="231">
        <f>Data!D14</f>
        <v>129044532</v>
      </c>
      <c r="R7" s="211"/>
    </row>
    <row r="8" spans="1:26" x14ac:dyDescent="0.25">
      <c r="A8" s="209"/>
      <c r="B8" s="209" t="s">
        <v>133</v>
      </c>
      <c r="C8" s="232">
        <f>'DCF Static'!B26</f>
        <v>143392285.94303793</v>
      </c>
      <c r="D8" s="209"/>
      <c r="E8" s="209"/>
      <c r="F8" s="209"/>
      <c r="G8" s="209"/>
      <c r="H8" s="209"/>
      <c r="J8" s="209"/>
      <c r="K8" s="209"/>
      <c r="L8" s="209"/>
      <c r="M8" s="209"/>
      <c r="N8" s="209"/>
      <c r="R8" s="212"/>
    </row>
    <row r="9" spans="1:26" x14ac:dyDescent="0.25">
      <c r="A9" s="209"/>
      <c r="B9" s="209" t="s">
        <v>79</v>
      </c>
      <c r="C9" s="218">
        <f>'DCF Static'!B30</f>
        <v>1214824.252255559</v>
      </c>
      <c r="D9" s="209"/>
      <c r="E9" s="209"/>
      <c r="F9" s="209"/>
      <c r="G9" s="209"/>
      <c r="H9" s="209"/>
      <c r="J9" s="303" t="s">
        <v>173</v>
      </c>
      <c r="K9" s="303"/>
      <c r="N9" s="229" t="s">
        <v>174</v>
      </c>
      <c r="O9" s="229"/>
      <c r="P9" s="209"/>
      <c r="R9" s="212"/>
    </row>
    <row r="10" spans="1:26" x14ac:dyDescent="0.25">
      <c r="A10" s="209"/>
      <c r="B10" s="209" t="s">
        <v>80</v>
      </c>
      <c r="C10" s="232">
        <f>'DCF Static'!B31</f>
        <v>144607110.19529349</v>
      </c>
      <c r="D10" s="209"/>
      <c r="E10" s="209"/>
      <c r="F10" s="209"/>
      <c r="G10" s="209"/>
      <c r="H10" s="209"/>
      <c r="J10" s="209" t="s">
        <v>95</v>
      </c>
      <c r="K10" s="213" t="s">
        <v>42</v>
      </c>
      <c r="L10" s="213" t="s">
        <v>37</v>
      </c>
      <c r="N10" s="230" t="s">
        <v>95</v>
      </c>
      <c r="O10" s="213" t="s">
        <v>42</v>
      </c>
      <c r="P10" s="213" t="s">
        <v>37</v>
      </c>
      <c r="R10" s="209"/>
    </row>
    <row r="11" spans="1:26" x14ac:dyDescent="0.25">
      <c r="A11" s="209"/>
      <c r="B11" s="209" t="s">
        <v>135</v>
      </c>
      <c r="C11" s="233">
        <f>'DCF Static'!B13</f>
        <v>3.78E-2</v>
      </c>
      <c r="D11" s="209"/>
      <c r="E11" s="209"/>
      <c r="F11" s="209"/>
      <c r="G11" s="209"/>
      <c r="H11" s="209"/>
      <c r="J11" s="230" t="s">
        <v>45</v>
      </c>
      <c r="K11" s="234">
        <f>Data!D27</f>
        <v>-0.03</v>
      </c>
      <c r="L11" s="234">
        <f>Data!E27</f>
        <v>0.18</v>
      </c>
      <c r="N11" s="230" t="s">
        <v>45</v>
      </c>
      <c r="O11" s="234">
        <f>Data!D21</f>
        <v>0</v>
      </c>
      <c r="P11" s="234">
        <f>Data!E21</f>
        <v>7.0000000000000007E-2</v>
      </c>
      <c r="R11" s="210"/>
    </row>
    <row r="12" spans="1:26" x14ac:dyDescent="0.25">
      <c r="A12" s="209"/>
      <c r="B12" s="209" t="s">
        <v>136</v>
      </c>
      <c r="C12" s="235">
        <f>'Financing Static'!B4</f>
        <v>4.8750000000000002E-2</v>
      </c>
      <c r="D12" s="209"/>
      <c r="E12" s="209"/>
      <c r="F12" s="209"/>
      <c r="G12" s="209"/>
      <c r="H12" s="209"/>
      <c r="J12" s="230" t="s">
        <v>14</v>
      </c>
      <c r="K12" s="234">
        <f>Data!D28</f>
        <v>-0.33</v>
      </c>
      <c r="L12" s="234">
        <f>Data!E28</f>
        <v>0.68</v>
      </c>
      <c r="N12" s="230" t="s">
        <v>14</v>
      </c>
      <c r="O12" s="234">
        <f>Data!D22</f>
        <v>0.35</v>
      </c>
      <c r="P12" s="234">
        <f>Data!E22</f>
        <v>0.45</v>
      </c>
      <c r="R12" s="213"/>
    </row>
    <row r="13" spans="1:26" x14ac:dyDescent="0.25">
      <c r="A13" s="209"/>
      <c r="B13" s="209" t="s">
        <v>137</v>
      </c>
      <c r="C13" s="236" t="str">
        <f>IF(C12&gt;C11,"Buy","Sell")</f>
        <v>Buy</v>
      </c>
      <c r="D13" s="209"/>
      <c r="E13" s="209"/>
      <c r="F13" s="209"/>
      <c r="G13" s="209"/>
      <c r="H13" s="209"/>
      <c r="M13" s="209"/>
      <c r="N13" s="209"/>
      <c r="Q13" s="209"/>
      <c r="R13" s="211"/>
    </row>
    <row r="14" spans="1:26" x14ac:dyDescent="0.25">
      <c r="A14" s="209"/>
      <c r="B14" s="209"/>
      <c r="C14" s="209"/>
      <c r="D14" s="209"/>
      <c r="E14" s="209"/>
      <c r="F14" s="209"/>
      <c r="G14" s="209"/>
      <c r="H14" s="209"/>
      <c r="O14" s="209"/>
      <c r="P14" s="209"/>
      <c r="Q14" s="209"/>
      <c r="R14" s="212"/>
    </row>
    <row r="15" spans="1:26" ht="23.25" x14ac:dyDescent="0.35">
      <c r="A15" s="209"/>
      <c r="B15" s="304" t="s">
        <v>45</v>
      </c>
      <c r="C15" s="304"/>
      <c r="D15" s="244"/>
      <c r="E15" s="244"/>
      <c r="F15" s="244"/>
      <c r="G15" s="244"/>
      <c r="H15" s="244"/>
      <c r="I15" s="245"/>
      <c r="J15" s="307" t="s">
        <v>161</v>
      </c>
      <c r="K15" s="307"/>
      <c r="L15" s="307"/>
      <c r="M15" s="307"/>
      <c r="N15" s="307"/>
      <c r="O15" s="307"/>
      <c r="P15" s="307"/>
      <c r="Q15" s="307"/>
    </row>
    <row r="16" spans="1:26" x14ac:dyDescent="0.25">
      <c r="A16" s="209"/>
      <c r="B16" s="237" t="s">
        <v>134</v>
      </c>
      <c r="C16" s="214"/>
      <c r="D16" s="214"/>
      <c r="E16" s="209"/>
      <c r="F16" s="209"/>
      <c r="G16" s="209"/>
      <c r="H16" s="209"/>
      <c r="J16" s="302" t="s">
        <v>139</v>
      </c>
      <c r="K16" s="302"/>
      <c r="L16" s="238"/>
      <c r="M16" s="302" t="s">
        <v>139</v>
      </c>
      <c r="N16" s="302"/>
      <c r="P16" s="223" t="s">
        <v>139</v>
      </c>
      <c r="Q16" s="223"/>
    </row>
    <row r="17" spans="1:24" x14ac:dyDescent="0.25">
      <c r="A17" s="209"/>
      <c r="B17" s="237" t="s">
        <v>78</v>
      </c>
      <c r="C17" s="218">
        <f>'DCF Static Europe &amp; Central Asi'!B29</f>
        <v>153274020.55034637</v>
      </c>
      <c r="D17" s="215" t="s">
        <v>6</v>
      </c>
      <c r="E17" s="209"/>
      <c r="F17" s="209"/>
      <c r="G17" s="209"/>
      <c r="H17" s="209"/>
      <c r="J17" s="224" t="s">
        <v>140</v>
      </c>
      <c r="K17" s="224" t="s">
        <v>141</v>
      </c>
      <c r="L17" s="209"/>
      <c r="M17" s="220" t="s">
        <v>176</v>
      </c>
      <c r="N17" s="217" t="s">
        <v>141</v>
      </c>
      <c r="P17" s="224" t="s">
        <v>76</v>
      </c>
      <c r="Q17" s="224" t="s">
        <v>141</v>
      </c>
    </row>
    <row r="18" spans="1:24" x14ac:dyDescent="0.25">
      <c r="A18" s="209"/>
      <c r="B18" s="237" t="s">
        <v>79</v>
      </c>
      <c r="C18" s="218">
        <f>'DCF Static Europe &amp; Central Asi'!B30</f>
        <v>1257825.8282182515</v>
      </c>
      <c r="D18" s="215" t="s">
        <v>6</v>
      </c>
      <c r="E18" s="209"/>
      <c r="F18" s="209"/>
      <c r="G18" s="209"/>
      <c r="H18" s="209"/>
      <c r="J18" s="223"/>
      <c r="K18" s="239">
        <f ca="1">'Sensitivity Analysis'!C6</f>
        <v>144607110.19529349</v>
      </c>
      <c r="L18" s="209"/>
      <c r="M18" s="221"/>
      <c r="N18" s="240">
        <f ca="1">DCF!B31</f>
        <v>144607110.19529349</v>
      </c>
      <c r="P18" s="223"/>
      <c r="Q18" s="239">
        <f ca="1">'Sensitivity Analysis'!I6</f>
        <v>144607110.19529349</v>
      </c>
    </row>
    <row r="19" spans="1:24" x14ac:dyDescent="0.25">
      <c r="A19" s="209"/>
      <c r="B19" s="237" t="s">
        <v>80</v>
      </c>
      <c r="C19" s="218">
        <f>'DCF Static Europe &amp; Central Asi'!B31</f>
        <v>154531846.37856463</v>
      </c>
      <c r="D19" s="216"/>
      <c r="E19" s="209"/>
      <c r="F19" s="209"/>
      <c r="G19" s="209"/>
      <c r="H19" s="209"/>
      <c r="J19" s="220">
        <f>'Sensitivity Analysis'!B7</f>
        <v>2.2800000000000001E-2</v>
      </c>
      <c r="K19" s="225">
        <f>'Sensitivity Analysis'!C7</f>
        <v>144607110.19529349</v>
      </c>
      <c r="L19" s="209"/>
      <c r="M19" s="220">
        <f>'Sensitivity Analysis'!B18</f>
        <v>5.7400000000000014E-2</v>
      </c>
      <c r="N19" s="219">
        <f>'Sensitivity Analysis'!C18</f>
        <v>144607110.19529349</v>
      </c>
      <c r="P19" s="220">
        <f>'Sensitivity Analysis'!H7</f>
        <v>7.5000000000000011E-2</v>
      </c>
      <c r="Q19" s="225">
        <f>'Sensitivity Analysis'!I7</f>
        <v>144607110.19529349</v>
      </c>
    </row>
    <row r="20" spans="1:24" x14ac:dyDescent="0.25">
      <c r="A20" s="209"/>
      <c r="B20" s="209" t="s">
        <v>135</v>
      </c>
      <c r="C20" s="233">
        <f>'DCF Static Europe &amp; Central Asi'!B13</f>
        <v>3.78E-2</v>
      </c>
      <c r="D20" s="216"/>
      <c r="E20" s="209"/>
      <c r="F20" s="209"/>
      <c r="G20" s="209"/>
      <c r="H20" s="209"/>
      <c r="J20" s="220">
        <f>'Sensitivity Analysis'!B8</f>
        <v>2.7800000000000002E-2</v>
      </c>
      <c r="K20" s="225">
        <f>'Sensitivity Analysis'!C8</f>
        <v>144607110.19529349</v>
      </c>
      <c r="L20" s="209"/>
      <c r="M20" s="220">
        <f>'Sensitivity Analysis'!B19</f>
        <v>6.7400000000000015E-2</v>
      </c>
      <c r="N20" s="219">
        <f>'Sensitivity Analysis'!C19</f>
        <v>144607110.19529349</v>
      </c>
      <c r="P20" s="220">
        <f>'Sensitivity Analysis'!H8</f>
        <v>8.5000000000000006E-2</v>
      </c>
      <c r="Q20" s="225">
        <f>'Sensitivity Analysis'!I8</f>
        <v>144607110.19529349</v>
      </c>
      <c r="W20" s="209"/>
      <c r="X20" s="209"/>
    </row>
    <row r="21" spans="1:24" x14ac:dyDescent="0.25">
      <c r="A21" s="209"/>
      <c r="B21" s="209" t="s">
        <v>136</v>
      </c>
      <c r="C21" s="235">
        <f>'Financing Static'!B4</f>
        <v>4.8750000000000002E-2</v>
      </c>
      <c r="D21" s="216"/>
      <c r="E21" s="209"/>
      <c r="F21" s="209"/>
      <c r="G21" s="209"/>
      <c r="H21" s="209"/>
      <c r="J21" s="220">
        <f>'Sensitivity Analysis'!B9</f>
        <v>3.2800000000000003E-2</v>
      </c>
      <c r="K21" s="225">
        <f>'Sensitivity Analysis'!C9</f>
        <v>144607110.19529349</v>
      </c>
      <c r="M21" s="220">
        <f>'Sensitivity Analysis'!B20</f>
        <v>7.740000000000001E-2</v>
      </c>
      <c r="N21" s="219">
        <f>'Sensitivity Analysis'!C20</f>
        <v>144607110.19529349</v>
      </c>
      <c r="P21" s="220">
        <f>'Sensitivity Analysis'!H9</f>
        <v>9.5000000000000001E-2</v>
      </c>
      <c r="Q21" s="225">
        <f>'Sensitivity Analysis'!I9</f>
        <v>144607110.19529349</v>
      </c>
      <c r="W21" s="209"/>
      <c r="X21" s="209"/>
    </row>
    <row r="22" spans="1:24" x14ac:dyDescent="0.25">
      <c r="A22" s="209"/>
      <c r="B22" s="209" t="s">
        <v>137</v>
      </c>
      <c r="C22" s="236" t="str">
        <f>IF(C19&gt;Data!D12,"To be considered","To be rejected")</f>
        <v>To be considered</v>
      </c>
      <c r="D22" s="216"/>
      <c r="E22" s="209"/>
      <c r="F22" s="209"/>
      <c r="G22" s="209"/>
      <c r="H22" s="209"/>
      <c r="J22" s="226">
        <f>'Sensitivity Analysis'!B10</f>
        <v>3.78E-2</v>
      </c>
      <c r="K22" s="225">
        <f>'Sensitivity Analysis'!C10</f>
        <v>144607110.19529349</v>
      </c>
      <c r="M22" s="220">
        <f>'Sensitivity Analysis'!B21</f>
        <v>8.7400000000000005E-2</v>
      </c>
      <c r="N22" s="219">
        <f>'Sensitivity Analysis'!C21</f>
        <v>144607110.19529349</v>
      </c>
      <c r="P22" s="220">
        <f>'Sensitivity Analysis'!H10</f>
        <v>0.1</v>
      </c>
      <c r="Q22" s="225">
        <f>'Sensitivity Analysis'!I10</f>
        <v>144607110.19529349</v>
      </c>
      <c r="W22" s="209"/>
      <c r="X22" s="209"/>
    </row>
    <row r="23" spans="1:24" x14ac:dyDescent="0.25">
      <c r="A23" s="209"/>
      <c r="B23" s="209"/>
      <c r="C23" s="236"/>
      <c r="D23" s="216"/>
      <c r="E23" s="209"/>
      <c r="F23" s="209"/>
      <c r="G23" s="209"/>
      <c r="H23" s="209"/>
      <c r="J23" s="226">
        <f>'Sensitivity Analysis'!B11</f>
        <v>4.2799999999999998E-2</v>
      </c>
      <c r="K23" s="225">
        <f>'Sensitivity Analysis'!C11</f>
        <v>144607110.19529349</v>
      </c>
      <c r="M23" s="220">
        <f>'Sensitivity Analysis'!B22</f>
        <v>9.74E-2</v>
      </c>
      <c r="N23" s="219">
        <f>'Sensitivity Analysis'!C22</f>
        <v>144607110.19529349</v>
      </c>
      <c r="P23" s="220">
        <f>'Sensitivity Analysis'!H11</f>
        <v>0.11</v>
      </c>
      <c r="Q23" s="225">
        <f>'Sensitivity Analysis'!I11</f>
        <v>144607110.19529349</v>
      </c>
      <c r="W23" s="209"/>
      <c r="X23" s="209"/>
    </row>
    <row r="24" spans="1:24" x14ac:dyDescent="0.25">
      <c r="A24" s="209"/>
      <c r="B24" s="304" t="s">
        <v>14</v>
      </c>
      <c r="C24" s="304"/>
      <c r="D24" s="209"/>
      <c r="E24" s="209"/>
      <c r="F24" s="209"/>
      <c r="G24" s="209"/>
      <c r="H24" s="209"/>
      <c r="J24" s="226">
        <f>'Sensitivity Analysis'!B12</f>
        <v>4.7799999999999995E-2</v>
      </c>
      <c r="K24" s="225">
        <f>'Sensitivity Analysis'!C12</f>
        <v>144607110.19529349</v>
      </c>
      <c r="M24" s="220">
        <f>'Sensitivity Analysis'!B23</f>
        <v>0.1074</v>
      </c>
      <c r="N24" s="219">
        <f>'Sensitivity Analysis'!C23</f>
        <v>144607110.19529349</v>
      </c>
      <c r="P24" s="220">
        <f>'Sensitivity Analysis'!H12</f>
        <v>0.12</v>
      </c>
      <c r="Q24" s="225">
        <f>'Sensitivity Analysis'!I12</f>
        <v>144607110.19529349</v>
      </c>
      <c r="W24" s="209"/>
      <c r="X24" s="209"/>
    </row>
    <row r="25" spans="1:24" x14ac:dyDescent="0.25">
      <c r="A25" s="209"/>
      <c r="B25" s="237" t="s">
        <v>134</v>
      </c>
      <c r="C25" s="214"/>
      <c r="D25" s="214"/>
      <c r="E25" s="209"/>
      <c r="F25" s="209"/>
      <c r="G25" s="209"/>
      <c r="H25" s="209"/>
      <c r="J25" s="226">
        <f>'Sensitivity Analysis'!B13</f>
        <v>5.2799999999999993E-2</v>
      </c>
      <c r="K25" s="225">
        <f>'Sensitivity Analysis'!C13</f>
        <v>144607110.19529349</v>
      </c>
      <c r="M25" s="220">
        <f>'Sensitivity Analysis'!B24</f>
        <v>0.11739999999999999</v>
      </c>
      <c r="N25" s="219">
        <f>'Sensitivity Analysis'!C24</f>
        <v>144607110.19529349</v>
      </c>
      <c r="P25" s="220">
        <f>'Sensitivity Analysis'!H13</f>
        <v>0.13</v>
      </c>
      <c r="Q25" s="225">
        <f>'Sensitivity Analysis'!I13</f>
        <v>144607110.19529349</v>
      </c>
      <c r="U25" s="209"/>
      <c r="V25" s="209"/>
      <c r="W25" s="209"/>
      <c r="X25" s="209"/>
    </row>
    <row r="26" spans="1:24" x14ac:dyDescent="0.25">
      <c r="A26" s="209"/>
      <c r="B26" s="237" t="s">
        <v>78</v>
      </c>
      <c r="C26" s="218">
        <f>'DCF Static South Asia'!B29</f>
        <v>127450990.05653711</v>
      </c>
      <c r="D26" s="215" t="s">
        <v>6</v>
      </c>
      <c r="E26" s="209"/>
      <c r="F26" s="209"/>
      <c r="G26" s="209"/>
      <c r="H26" s="209"/>
    </row>
    <row r="27" spans="1:24" x14ac:dyDescent="0.25">
      <c r="A27" s="209"/>
      <c r="B27" s="237" t="s">
        <v>79</v>
      </c>
      <c r="C27" s="218">
        <f>'DCF Static South Asia'!B30</f>
        <v>1696630.6427673697</v>
      </c>
      <c r="D27" s="215" t="s">
        <v>6</v>
      </c>
      <c r="E27" s="209"/>
      <c r="F27" s="209"/>
      <c r="G27" s="209"/>
      <c r="H27" s="209"/>
    </row>
    <row r="28" spans="1:24" x14ac:dyDescent="0.25">
      <c r="A28" s="209"/>
      <c r="B28" s="237" t="s">
        <v>80</v>
      </c>
      <c r="C28" s="218">
        <f>'DCF Static South Asia'!B31</f>
        <v>129147620.69930448</v>
      </c>
      <c r="D28" s="216"/>
      <c r="E28" s="209"/>
      <c r="F28" s="209"/>
      <c r="G28" s="209"/>
      <c r="H28" s="209"/>
    </row>
    <row r="29" spans="1:24" ht="15" customHeight="1" x14ac:dyDescent="0.35">
      <c r="A29" s="209"/>
      <c r="B29" s="209" t="s">
        <v>135</v>
      </c>
      <c r="C29" s="233">
        <f>'DCF Static South Asia'!B13</f>
        <v>3.78E-2</v>
      </c>
      <c r="D29" s="209"/>
      <c r="E29" s="209"/>
      <c r="F29" s="209"/>
      <c r="G29" s="209"/>
      <c r="H29" s="209"/>
      <c r="J29" s="302" t="s">
        <v>139</v>
      </c>
      <c r="K29" s="302"/>
      <c r="M29" s="302" t="s">
        <v>139</v>
      </c>
      <c r="N29" s="302"/>
      <c r="P29" s="223" t="s">
        <v>139</v>
      </c>
      <c r="Q29" s="223"/>
      <c r="T29" s="207"/>
    </row>
    <row r="30" spans="1:24" x14ac:dyDescent="0.25">
      <c r="A30" s="209"/>
      <c r="B30" s="209" t="s">
        <v>136</v>
      </c>
      <c r="C30" s="235">
        <f>'Financing Static'!B4</f>
        <v>4.8750000000000002E-2</v>
      </c>
      <c r="D30" s="214"/>
      <c r="E30" s="209"/>
      <c r="F30" s="209"/>
      <c r="G30" s="209"/>
      <c r="H30" s="209"/>
      <c r="I30" s="209"/>
      <c r="J30" s="210" t="s">
        <v>136</v>
      </c>
      <c r="K30" s="224" t="s">
        <v>141</v>
      </c>
      <c r="M30" s="224" t="s">
        <v>63</v>
      </c>
      <c r="N30" s="224" t="s">
        <v>141</v>
      </c>
      <c r="P30" s="226" t="s">
        <v>93</v>
      </c>
      <c r="Q30" s="224" t="s">
        <v>141</v>
      </c>
      <c r="T30" s="208"/>
    </row>
    <row r="31" spans="1:24" x14ac:dyDescent="0.25">
      <c r="A31" s="209"/>
      <c r="B31" s="209" t="s">
        <v>137</v>
      </c>
      <c r="C31" s="236" t="str">
        <f>IF(C28&gt;Data!D12,"To be considered","To be rejected")</f>
        <v>To be considered</v>
      </c>
      <c r="D31" s="215"/>
      <c r="E31" s="209"/>
      <c r="F31" s="209"/>
      <c r="G31" s="209"/>
      <c r="H31" s="209"/>
      <c r="I31" s="209"/>
      <c r="J31" s="223"/>
      <c r="K31" s="239">
        <f ca="1">DCF!$B$31</f>
        <v>144607110.19529349</v>
      </c>
      <c r="M31" s="223"/>
      <c r="N31" s="239">
        <f ca="1">DCF!$B$31</f>
        <v>144607110.19529349</v>
      </c>
      <c r="P31" s="223"/>
      <c r="Q31" s="239">
        <f ca="1">'Sensitivity Analysis'!I17</f>
        <v>144607110.19529349</v>
      </c>
      <c r="T31" s="208"/>
    </row>
    <row r="32" spans="1:24" x14ac:dyDescent="0.25">
      <c r="A32" s="209"/>
      <c r="B32" s="241"/>
      <c r="C32" s="218"/>
      <c r="D32" s="215"/>
      <c r="E32" s="209"/>
      <c r="F32" s="209"/>
      <c r="G32" s="209"/>
      <c r="H32" s="209"/>
      <c r="I32" s="209"/>
      <c r="J32" s="242">
        <f>'Sensitivity Analysis'!E18</f>
        <v>1.8749999999999996E-2</v>
      </c>
      <c r="K32" s="219">
        <v>146339626.88023672</v>
      </c>
      <c r="M32" s="220">
        <f>'Sensitivity Analysis'!E7</f>
        <v>0.25000000000000006</v>
      </c>
      <c r="N32" s="219">
        <v>158028992.82831183</v>
      </c>
      <c r="P32" s="220">
        <f>'Sensitivity Analysis'!H18</f>
        <v>6.8700000000000011E-2</v>
      </c>
      <c r="Q32" s="225">
        <f>'Sensitivity Analysis'!I18</f>
        <v>144607110.19529349</v>
      </c>
      <c r="T32" s="208"/>
    </row>
    <row r="33" spans="1:20" x14ac:dyDescent="0.25">
      <c r="A33" s="209"/>
      <c r="B33" s="303" t="s">
        <v>162</v>
      </c>
      <c r="C33" s="303"/>
      <c r="E33" s="209" t="s">
        <v>12</v>
      </c>
      <c r="F33" s="232">
        <f>Simulation!$B$140</f>
        <v>143392285.94303793</v>
      </c>
      <c r="G33" s="232">
        <f>Simulation!$C$140</f>
        <v>133086022.65060356</v>
      </c>
      <c r="H33" s="232">
        <f>Simulation!$D$140</f>
        <v>6462790.554395631</v>
      </c>
      <c r="I33" s="209"/>
      <c r="J33" s="242">
        <f>'Sensitivity Analysis'!E19</f>
        <v>2.8749999999999998E-2</v>
      </c>
      <c r="K33" s="219">
        <v>155350379.38494205</v>
      </c>
      <c r="M33" s="220">
        <f>'Sensitivity Analysis'!E8</f>
        <v>0.30000000000000004</v>
      </c>
      <c r="N33" s="219">
        <v>171355893.87180653</v>
      </c>
      <c r="P33" s="220">
        <f>'Sensitivity Analysis'!H19</f>
        <v>7.8700000000000006E-2</v>
      </c>
      <c r="Q33" s="225">
        <f>'Sensitivity Analysis'!I19</f>
        <v>144607110.19529349</v>
      </c>
      <c r="T33" s="208"/>
    </row>
    <row r="34" spans="1:20" x14ac:dyDescent="0.25">
      <c r="A34" s="209"/>
      <c r="B34" s="209" t="s">
        <v>63</v>
      </c>
      <c r="C34" s="243">
        <f>DCF!B9</f>
        <v>0.4</v>
      </c>
      <c r="E34" s="209" t="s">
        <v>13</v>
      </c>
      <c r="F34" s="232">
        <f>Simulation!$B$141</f>
        <v>143392285.94303793</v>
      </c>
      <c r="G34" s="232">
        <f>Simulation!$C$141</f>
        <v>189862524.27430731</v>
      </c>
      <c r="H34" s="232">
        <f>Simulation!$D$141</f>
        <v>229902878.8114354</v>
      </c>
      <c r="I34" s="209"/>
      <c r="J34" s="242">
        <f>'Sensitivity Analysis'!E20</f>
        <v>3.875E-2</v>
      </c>
      <c r="K34" s="219">
        <v>153032081.87010479</v>
      </c>
      <c r="M34" s="220">
        <f>'Sensitivity Analysis'!E9</f>
        <v>0.35000000000000003</v>
      </c>
      <c r="N34" s="219">
        <v>158309593.9357025</v>
      </c>
      <c r="P34" s="220">
        <f>'Sensitivity Analysis'!H20</f>
        <v>8.8700000000000001E-2</v>
      </c>
      <c r="Q34" s="225">
        <f>'Sensitivity Analysis'!I20</f>
        <v>144607110.19529349</v>
      </c>
      <c r="T34" s="208"/>
    </row>
    <row r="35" spans="1:20" x14ac:dyDescent="0.25">
      <c r="A35" s="209"/>
      <c r="B35" s="209" t="s">
        <v>76</v>
      </c>
      <c r="C35" s="243">
        <f>DCF!B10</f>
        <v>0.1</v>
      </c>
      <c r="E35" s="209" t="s">
        <v>155</v>
      </c>
      <c r="F35" s="209">
        <f>Simulation!B142</f>
        <v>50</v>
      </c>
      <c r="G35" s="209">
        <f>Simulation!C142</f>
        <v>50</v>
      </c>
      <c r="H35" s="209">
        <f>Simulation!D142</f>
        <v>50</v>
      </c>
      <c r="I35" s="209"/>
      <c r="J35" s="242">
        <f>'Sensitivity Analysis'!E21</f>
        <v>4.8750000000000002E-2</v>
      </c>
      <c r="K35" s="219">
        <v>154906918.24806032</v>
      </c>
      <c r="M35" s="220">
        <f>'Sensitivity Analysis'!E10</f>
        <v>0.4</v>
      </c>
      <c r="N35" s="219">
        <v>186586684.60463262</v>
      </c>
      <c r="P35" s="220">
        <f>'Sensitivity Analysis'!H21</f>
        <v>9.3700000000000006E-2</v>
      </c>
      <c r="Q35" s="225">
        <f>'Sensitivity Analysis'!I21</f>
        <v>144607110.19529349</v>
      </c>
      <c r="T35" s="208"/>
    </row>
    <row r="36" spans="1:20" x14ac:dyDescent="0.25">
      <c r="A36" s="209"/>
      <c r="B36" s="209" t="s">
        <v>81</v>
      </c>
      <c r="C36" s="243">
        <f>DCF!B11</f>
        <v>8.7400000000000005E-2</v>
      </c>
      <c r="E36" s="209" t="s">
        <v>156</v>
      </c>
      <c r="F36" s="232">
        <f>Simulation!B143</f>
        <v>0</v>
      </c>
      <c r="G36" s="232">
        <f>Simulation!C143</f>
        <v>1158704.1147694644</v>
      </c>
      <c r="H36" s="232">
        <f>Simulation!D143</f>
        <v>4560001.8011640776</v>
      </c>
      <c r="I36" s="209"/>
      <c r="J36" s="242">
        <f>'Sensitivity Analysis'!E22</f>
        <v>5.8750000000000004E-2</v>
      </c>
      <c r="K36" s="219">
        <v>168483983.82443315</v>
      </c>
      <c r="M36" s="220">
        <f>'Sensitivity Analysis'!E11</f>
        <v>0.45</v>
      </c>
      <c r="N36" s="219">
        <v>165383425.56644964</v>
      </c>
      <c r="P36" s="220">
        <f>'Sensitivity Analysis'!H22</f>
        <v>0.1037</v>
      </c>
      <c r="Q36" s="225">
        <f>'Sensitivity Analysis'!I22</f>
        <v>144607110.19529349</v>
      </c>
    </row>
    <row r="37" spans="1:20" x14ac:dyDescent="0.25">
      <c r="A37" s="209"/>
      <c r="B37" s="209" t="s">
        <v>93</v>
      </c>
      <c r="C37" s="243">
        <f>DCF!B12</f>
        <v>9.3700000000000006E-2</v>
      </c>
      <c r="E37" s="209" t="s">
        <v>157</v>
      </c>
      <c r="F37" s="209">
        <f>Simulation!$B$144</f>
        <v>100</v>
      </c>
      <c r="G37" s="209">
        <f>Simulation!$C$144</f>
        <v>100</v>
      </c>
      <c r="H37" s="209">
        <f>Simulation!$D$144</f>
        <v>100</v>
      </c>
      <c r="I37" s="209"/>
      <c r="J37" s="242">
        <f>'Sensitivity Analysis'!E23</f>
        <v>6.8750000000000006E-2</v>
      </c>
      <c r="K37" s="219">
        <v>149805493.6653572</v>
      </c>
      <c r="L37" s="209"/>
      <c r="M37" s="220">
        <f>'Sensitivity Analysis'!E12</f>
        <v>0.5</v>
      </c>
      <c r="N37" s="219">
        <v>150145208.3229329</v>
      </c>
      <c r="P37" s="220">
        <f>'Sensitivity Analysis'!H23</f>
        <v>0.1137</v>
      </c>
      <c r="Q37" s="225">
        <f>'Sensitivity Analysis'!I23</f>
        <v>144607110.19529349</v>
      </c>
    </row>
    <row r="38" spans="1:20" x14ac:dyDescent="0.25">
      <c r="A38" s="68"/>
      <c r="B38" s="230" t="s">
        <v>96</v>
      </c>
      <c r="C38" s="243">
        <f>DCF!B13</f>
        <v>3.78E-2</v>
      </c>
      <c r="E38" s="209" t="s">
        <v>158</v>
      </c>
      <c r="F38" s="232">
        <f>Simulation!$B$145</f>
        <v>143392285.94303793</v>
      </c>
      <c r="G38" s="232">
        <f>Simulation!$C$145</f>
        <v>143392285.94303793</v>
      </c>
      <c r="H38" s="232">
        <f>Simulation!$D$145</f>
        <v>143392285.94303793</v>
      </c>
      <c r="J38" s="242">
        <f>'Sensitivity Analysis'!E24</f>
        <v>7.8750000000000001E-2</v>
      </c>
      <c r="K38" s="219">
        <v>160438838.76536044</v>
      </c>
      <c r="M38" s="220">
        <f>'Sensitivity Analysis'!E13</f>
        <v>0.55000000000000004</v>
      </c>
      <c r="N38" s="219">
        <v>156953454.95540288</v>
      </c>
      <c r="P38" s="220">
        <f>'Sensitivity Analysis'!H24</f>
        <v>0.12369999999999999</v>
      </c>
      <c r="Q38" s="225">
        <f>'Sensitivity Analysis'!I24</f>
        <v>144607110.19529349</v>
      </c>
    </row>
    <row r="50" spans="13:17" x14ac:dyDescent="0.25">
      <c r="M50" s="68"/>
      <c r="N50" s="68"/>
      <c r="O50" s="68"/>
      <c r="P50" s="68"/>
      <c r="Q50" s="68"/>
    </row>
  </sheetData>
  <mergeCells count="15">
    <mergeCell ref="B6:C6"/>
    <mergeCell ref="B5:C5"/>
    <mergeCell ref="B15:C15"/>
    <mergeCell ref="J16:K16"/>
    <mergeCell ref="A3:P3"/>
    <mergeCell ref="J15:Q15"/>
    <mergeCell ref="J9:K9"/>
    <mergeCell ref="E5:H5"/>
    <mergeCell ref="J5:M5"/>
    <mergeCell ref="N5:Q5"/>
    <mergeCell ref="M16:N16"/>
    <mergeCell ref="J29:K29"/>
    <mergeCell ref="M29:N29"/>
    <mergeCell ref="B33:C33"/>
    <mergeCell ref="B24:C24"/>
  </mergeCells>
  <conditionalFormatting sqref="C13">
    <cfRule type="containsText" dxfId="20" priority="1" operator="containsText" text="Sell">
      <formula>NOT(ISERROR(SEARCH("Sell",C13)))</formula>
    </cfRule>
    <cfRule type="containsText" dxfId="19" priority="2" operator="containsText" text="Buy">
      <formula>NOT(ISERROR(SEARCH("Buy",C13)))</formula>
    </cfRule>
    <cfRule type="containsText" dxfId="18" priority="11" operator="containsText" text="Reject">
      <formula>NOT(ISERROR(SEARCH("Reject",C13)))</formula>
    </cfRule>
    <cfRule type="containsText" dxfId="17" priority="12" operator="containsText" text="consider">
      <formula>NOT(ISERROR(SEARCH("consider",C13)))</formula>
    </cfRule>
  </conditionalFormatting>
  <conditionalFormatting sqref="C22:C23">
    <cfRule type="containsText" dxfId="16" priority="5" operator="containsText" text="Reject">
      <formula>NOT(ISERROR(SEARCH("Reject",C22)))</formula>
    </cfRule>
    <cfRule type="containsText" dxfId="15" priority="6" operator="containsText" text="consider">
      <formula>NOT(ISERROR(SEARCH("consider",C22)))</formula>
    </cfRule>
  </conditionalFormatting>
  <conditionalFormatting sqref="C31">
    <cfRule type="containsText" dxfId="14" priority="3" operator="containsText" text="Reject">
      <formula>NOT(ISERROR(SEARCH("Reject",C31)))</formula>
    </cfRule>
    <cfRule type="containsText" dxfId="13" priority="4" operator="containsText" text="consider">
      <formula>NOT(ISERROR(SEARCH("consider",C31)))</formula>
    </cfRule>
  </conditionalFormatting>
  <hyperlinks>
    <hyperlink ref="A1" location="Index!A1" display="Back to Index" xr:uid="{F242A0CE-5ED7-420D-A936-57295DE7E4C0}"/>
  </hyperlinks>
  <pageMargins left="0.7" right="0.7" top="0.75" bottom="0.75" header="0.3" footer="0.3"/>
  <pageSetup scale="28" orientation="portrait" horizontalDpi="4294967293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F2A8-3FF7-4729-B6EC-AA224D7E03ED}">
  <sheetPr codeName="Sheet5"/>
  <dimension ref="A1:M67"/>
  <sheetViews>
    <sheetView showGridLines="0" topLeftCell="A10" zoomScale="130" zoomScaleNormal="130" workbookViewId="0">
      <selection activeCell="B31" sqref="B31"/>
    </sheetView>
  </sheetViews>
  <sheetFormatPr defaultRowHeight="15" x14ac:dyDescent="0.25"/>
  <cols>
    <col min="1" max="1" width="35.7109375" style="68" bestFit="1" customWidth="1"/>
    <col min="2" max="2" width="19.28515625" style="68" customWidth="1"/>
    <col min="3" max="3" width="21.140625" style="68" bestFit="1" customWidth="1"/>
    <col min="4" max="4" width="18" style="68" bestFit="1" customWidth="1"/>
    <col min="5" max="5" width="20.42578125" style="68" bestFit="1" customWidth="1"/>
    <col min="6" max="7" width="17.28515625" style="68" bestFit="1" customWidth="1"/>
    <col min="8" max="8" width="19.140625" style="68" bestFit="1" customWidth="1"/>
    <col min="9" max="9" width="30.28515625" style="68" bestFit="1" customWidth="1"/>
    <col min="10" max="10" width="9.140625" style="68"/>
    <col min="11" max="11" width="12.7109375" style="68" bestFit="1" customWidth="1"/>
    <col min="12" max="16384" width="9.140625" style="68"/>
  </cols>
  <sheetData>
    <row r="1" spans="1:13" s="169" customFormat="1" x14ac:dyDescent="0.25">
      <c r="A1" s="168" t="s">
        <v>5</v>
      </c>
    </row>
    <row r="2" spans="1:13" s="169" customFormat="1" x14ac:dyDescent="0.25">
      <c r="A2" s="168"/>
    </row>
    <row r="3" spans="1:13" x14ac:dyDescent="0.25">
      <c r="A3" s="122" t="s">
        <v>8</v>
      </c>
      <c r="B3" s="77"/>
      <c r="C3" s="77"/>
      <c r="D3" s="77"/>
      <c r="E3" s="77"/>
      <c r="F3" s="77"/>
      <c r="G3" s="77"/>
      <c r="H3" s="77"/>
      <c r="I3" s="172"/>
    </row>
    <row r="4" spans="1:13" x14ac:dyDescent="0.25">
      <c r="A4" s="102"/>
      <c r="I4" s="173" t="s">
        <v>47</v>
      </c>
    </row>
    <row r="5" spans="1:13" x14ac:dyDescent="0.25">
      <c r="A5" s="194" t="s">
        <v>7</v>
      </c>
      <c r="B5" s="123">
        <f ca="1">TODAY()</f>
        <v>45821</v>
      </c>
      <c r="C5" s="119">
        <v>45291</v>
      </c>
      <c r="D5" s="119">
        <f>EDATE(C5,12)</f>
        <v>45657</v>
      </c>
      <c r="E5" s="119">
        <f>EDATE(D5,12)</f>
        <v>46022</v>
      </c>
      <c r="F5" s="119">
        <f>EDATE(E5,12)</f>
        <v>46387</v>
      </c>
      <c r="G5" s="119">
        <f>EDATE(F5,12)</f>
        <v>46752</v>
      </c>
      <c r="H5" s="119">
        <f>EDATE(G5,12)</f>
        <v>47118</v>
      </c>
      <c r="I5" s="173"/>
    </row>
    <row r="6" spans="1:13" x14ac:dyDescent="0.25">
      <c r="A6" s="13" t="s">
        <v>23</v>
      </c>
      <c r="B6" s="98">
        <v>0</v>
      </c>
      <c r="C6" s="98">
        <v>0</v>
      </c>
      <c r="D6" s="98">
        <v>0</v>
      </c>
      <c r="E6" s="98">
        <v>0</v>
      </c>
      <c r="F6" s="98">
        <f ca="1">(1+Simulation!F27)*Data!$D$5</f>
        <v>277135257</v>
      </c>
      <c r="G6" s="98">
        <f ca="1">(1+Simulation!G27)*Data!$D$5</f>
        <v>277135257</v>
      </c>
      <c r="H6" s="98">
        <f ca="1">(1+Simulation!H27)*Data!$D$5</f>
        <v>277135257</v>
      </c>
      <c r="I6" s="173" t="s">
        <v>142</v>
      </c>
    </row>
    <row r="7" spans="1:13" x14ac:dyDescent="0.25">
      <c r="A7" s="13" t="s">
        <v>24</v>
      </c>
      <c r="B7" s="98">
        <v>0</v>
      </c>
      <c r="C7" s="125">
        <f ca="1">(1+Simulation!C34)*Data!$D$12</f>
        <v>115094325</v>
      </c>
      <c r="D7" s="125">
        <f ca="1">(1+Simulation!D34)*Data!$D$12</f>
        <v>115094325</v>
      </c>
      <c r="E7" s="125">
        <f ca="1">(1+Simulation!E34)*Data!$D$12</f>
        <v>115094325</v>
      </c>
      <c r="F7" s="98">
        <v>0</v>
      </c>
      <c r="G7" s="98">
        <v>0</v>
      </c>
      <c r="H7" s="98">
        <v>0</v>
      </c>
      <c r="I7" s="173" t="s">
        <v>143</v>
      </c>
    </row>
    <row r="8" spans="1:13" x14ac:dyDescent="0.25">
      <c r="A8" s="13" t="s">
        <v>16</v>
      </c>
      <c r="B8" s="50">
        <v>0</v>
      </c>
      <c r="C8" s="50">
        <v>0</v>
      </c>
      <c r="D8" s="50">
        <v>0</v>
      </c>
      <c r="E8" s="50">
        <f ca="1">'CapEx &amp; Depreciation'!B5</f>
        <v>5542705.1399999997</v>
      </c>
      <c r="F8" s="50">
        <f ca="1">'CapEx &amp; Depreciation'!B6</f>
        <v>5542705.1399999997</v>
      </c>
      <c r="G8" s="50">
        <f ca="1">'CapEx &amp; Depreciation'!B7</f>
        <v>5542705.1399999997</v>
      </c>
      <c r="H8" s="50">
        <v>0</v>
      </c>
      <c r="I8" s="173" t="s">
        <v>130</v>
      </c>
    </row>
    <row r="9" spans="1:13" x14ac:dyDescent="0.25">
      <c r="A9" s="19" t="s">
        <v>63</v>
      </c>
      <c r="B9" s="16">
        <f>40%</f>
        <v>0.4</v>
      </c>
      <c r="C9" s="127"/>
      <c r="D9" s="121"/>
      <c r="E9" s="121"/>
      <c r="F9" s="121"/>
      <c r="G9" s="121"/>
      <c r="H9" s="121"/>
      <c r="I9" s="173" t="s">
        <v>58</v>
      </c>
    </row>
    <row r="10" spans="1:13" x14ac:dyDescent="0.25">
      <c r="A10" s="19" t="s">
        <v>76</v>
      </c>
      <c r="B10" s="128">
        <v>0.1</v>
      </c>
      <c r="C10" s="127"/>
      <c r="D10" s="121"/>
      <c r="F10" s="121"/>
      <c r="G10" s="121"/>
      <c r="H10" s="121"/>
      <c r="I10" s="173" t="s">
        <v>58</v>
      </c>
    </row>
    <row r="11" spans="1:13" x14ac:dyDescent="0.25">
      <c r="A11" s="19" t="s">
        <v>81</v>
      </c>
      <c r="B11" s="129">
        <v>8.7400000000000005E-2</v>
      </c>
      <c r="C11" s="130"/>
      <c r="D11" s="121"/>
      <c r="E11" s="121"/>
      <c r="F11" s="121"/>
      <c r="G11" s="121"/>
      <c r="H11" s="121"/>
      <c r="I11" s="174">
        <v>44889</v>
      </c>
    </row>
    <row r="12" spans="1:13" x14ac:dyDescent="0.25">
      <c r="A12" s="19" t="s">
        <v>93</v>
      </c>
      <c r="B12" s="320">
        <f>AVERAGE(B10,B11)</f>
        <v>9.3700000000000006E-2</v>
      </c>
      <c r="C12" s="127"/>
      <c r="D12" s="121"/>
      <c r="E12" s="121"/>
      <c r="F12" s="121"/>
      <c r="G12" s="121"/>
      <c r="H12" s="121"/>
      <c r="I12" s="173" t="s">
        <v>147</v>
      </c>
    </row>
    <row r="13" spans="1:13" x14ac:dyDescent="0.25">
      <c r="A13" s="19" t="s">
        <v>175</v>
      </c>
      <c r="B13" s="76">
        <v>3.78E-2</v>
      </c>
      <c r="C13" s="121"/>
      <c r="D13" s="121"/>
      <c r="E13" s="121"/>
      <c r="F13" s="121"/>
      <c r="G13" s="121"/>
      <c r="H13" s="121"/>
      <c r="I13" s="173" t="s">
        <v>146</v>
      </c>
    </row>
    <row r="14" spans="1:13" x14ac:dyDescent="0.25">
      <c r="A14" s="194" t="s">
        <v>7</v>
      </c>
      <c r="B14" s="123">
        <v>44926</v>
      </c>
      <c r="C14" s="119">
        <v>45291</v>
      </c>
      <c r="D14" s="119">
        <f>EDATE(C14,12)</f>
        <v>45657</v>
      </c>
      <c r="E14" s="119">
        <f>EDATE(D14,12)</f>
        <v>46022</v>
      </c>
      <c r="F14" s="119">
        <f>EDATE(E14,12)</f>
        <v>46387</v>
      </c>
      <c r="G14" s="119">
        <f>EDATE(F14,12)</f>
        <v>46752</v>
      </c>
      <c r="H14" s="119">
        <f>EDATE(G14,12)</f>
        <v>47118</v>
      </c>
      <c r="I14" s="175" t="s">
        <v>47</v>
      </c>
      <c r="J14" s="131"/>
      <c r="K14" s="257"/>
      <c r="L14" s="258"/>
      <c r="M14" s="258"/>
    </row>
    <row r="15" spans="1:13" x14ac:dyDescent="0.25">
      <c r="A15" s="13" t="s">
        <v>23</v>
      </c>
      <c r="B15" s="50">
        <f>B6</f>
        <v>0</v>
      </c>
      <c r="C15" s="50">
        <f t="shared" ref="C15:H15" si="0">C6</f>
        <v>0</v>
      </c>
      <c r="D15" s="50">
        <f t="shared" si="0"/>
        <v>0</v>
      </c>
      <c r="E15" s="50">
        <f t="shared" si="0"/>
        <v>0</v>
      </c>
      <c r="F15" s="50">
        <f t="shared" ca="1" si="0"/>
        <v>277135257</v>
      </c>
      <c r="G15" s="50">
        <f t="shared" ca="1" si="0"/>
        <v>277135257</v>
      </c>
      <c r="H15" s="50">
        <f t="shared" ca="1" si="0"/>
        <v>277135257</v>
      </c>
      <c r="I15" s="175" t="s">
        <v>142</v>
      </c>
      <c r="J15" s="131"/>
      <c r="K15" s="257"/>
      <c r="L15" s="258"/>
      <c r="M15" s="258"/>
    </row>
    <row r="16" spans="1:13" x14ac:dyDescent="0.25">
      <c r="A16" s="13" t="s">
        <v>24</v>
      </c>
      <c r="B16" s="50">
        <f>B7</f>
        <v>0</v>
      </c>
      <c r="C16" s="50">
        <f t="shared" ref="C16:H16" ca="1" si="1">C7</f>
        <v>115094325</v>
      </c>
      <c r="D16" s="50">
        <f t="shared" ca="1" si="1"/>
        <v>115094325</v>
      </c>
      <c r="E16" s="50">
        <f t="shared" ca="1" si="1"/>
        <v>115094325</v>
      </c>
      <c r="F16" s="50">
        <f t="shared" si="1"/>
        <v>0</v>
      </c>
      <c r="G16" s="50">
        <f t="shared" si="1"/>
        <v>0</v>
      </c>
      <c r="H16" s="50">
        <f t="shared" si="1"/>
        <v>0</v>
      </c>
      <c r="I16" s="175" t="s">
        <v>143</v>
      </c>
      <c r="J16" s="131"/>
      <c r="K16" s="257"/>
      <c r="L16" s="258"/>
      <c r="M16" s="258"/>
    </row>
    <row r="17" spans="1:13" x14ac:dyDescent="0.25">
      <c r="A17" s="135" t="s">
        <v>18</v>
      </c>
      <c r="B17" s="136">
        <f>'CapEx &amp; Depreciation'!B18</f>
        <v>0</v>
      </c>
      <c r="C17" s="136">
        <f>'CapEx &amp; Depreciation'!C18</f>
        <v>0</v>
      </c>
      <c r="D17" s="136">
        <f>'CapEx &amp; Depreciation'!D18</f>
        <v>0</v>
      </c>
      <c r="E17" s="136">
        <f>'CapEx &amp; Depreciation'!E18</f>
        <v>0</v>
      </c>
      <c r="F17" s="136">
        <f ca="1">'CapEx &amp; Depreciation'!F18</f>
        <v>-395907.50999999995</v>
      </c>
      <c r="G17" s="136">
        <f ca="1">'CapEx &amp; Depreciation'!G18</f>
        <v>-395907.50999999995</v>
      </c>
      <c r="H17" s="136">
        <f ca="1">'CapEx &amp; Depreciation'!H18</f>
        <v>-395907.50999999995</v>
      </c>
      <c r="I17" s="175" t="s">
        <v>70</v>
      </c>
      <c r="J17" s="131"/>
      <c r="K17" s="257"/>
      <c r="L17" s="258"/>
      <c r="M17" s="258"/>
    </row>
    <row r="18" spans="1:13" x14ac:dyDescent="0.25">
      <c r="A18" s="137" t="s">
        <v>71</v>
      </c>
      <c r="B18" s="293">
        <f t="shared" ref="B18:H18" si="2">B15-B16-B17</f>
        <v>0</v>
      </c>
      <c r="C18" s="139">
        <f t="shared" ca="1" si="2"/>
        <v>-115094325</v>
      </c>
      <c r="D18" s="139">
        <f t="shared" ca="1" si="2"/>
        <v>-115094325</v>
      </c>
      <c r="E18" s="139">
        <f t="shared" ca="1" si="2"/>
        <v>-115094325</v>
      </c>
      <c r="F18" s="139">
        <f t="shared" ca="1" si="2"/>
        <v>277531164.50999999</v>
      </c>
      <c r="G18" s="139">
        <f t="shared" ca="1" si="2"/>
        <v>277531164.50999999</v>
      </c>
      <c r="H18" s="139">
        <f t="shared" ca="1" si="2"/>
        <v>277531164.50999999</v>
      </c>
      <c r="I18" s="175" t="s">
        <v>83</v>
      </c>
      <c r="J18" s="131"/>
      <c r="K18" s="257"/>
      <c r="L18" s="258"/>
      <c r="M18" s="258"/>
    </row>
    <row r="19" spans="1:13" s="19" customFormat="1" x14ac:dyDescent="0.25">
      <c r="A19" s="13" t="s">
        <v>72</v>
      </c>
      <c r="B19" s="294">
        <f t="shared" ref="B19:H19" si="3">B18*$B$9</f>
        <v>0</v>
      </c>
      <c r="C19" s="141">
        <f t="shared" ca="1" si="3"/>
        <v>-46037730</v>
      </c>
      <c r="D19" s="141">
        <f t="shared" ca="1" si="3"/>
        <v>-46037730</v>
      </c>
      <c r="E19" s="141">
        <f t="shared" ca="1" si="3"/>
        <v>-46037730</v>
      </c>
      <c r="F19" s="141">
        <f t="shared" ca="1" si="3"/>
        <v>111012465.80400001</v>
      </c>
      <c r="G19" s="141">
        <f t="shared" ca="1" si="3"/>
        <v>111012465.80400001</v>
      </c>
      <c r="H19" s="141">
        <f t="shared" ca="1" si="3"/>
        <v>111012465.80400001</v>
      </c>
      <c r="I19" s="176" t="s">
        <v>84</v>
      </c>
      <c r="J19" s="142"/>
      <c r="K19" s="4"/>
      <c r="L19" s="161"/>
      <c r="M19" s="161"/>
    </row>
    <row r="20" spans="1:13" s="20" customFormat="1" x14ac:dyDescent="0.25">
      <c r="A20" s="137" t="s">
        <v>74</v>
      </c>
      <c r="B20" s="144">
        <f t="shared" ref="B20:H20" si="4">B18-B19</f>
        <v>0</v>
      </c>
      <c r="C20" s="144">
        <f t="shared" ca="1" si="4"/>
        <v>-69056595</v>
      </c>
      <c r="D20" s="144">
        <f t="shared" ca="1" si="4"/>
        <v>-69056595</v>
      </c>
      <c r="E20" s="144">
        <f t="shared" ca="1" si="4"/>
        <v>-69056595</v>
      </c>
      <c r="F20" s="144">
        <f t="shared" ca="1" si="4"/>
        <v>166518698.70599997</v>
      </c>
      <c r="G20" s="144">
        <f t="shared" ca="1" si="4"/>
        <v>166518698.70599997</v>
      </c>
      <c r="H20" s="144">
        <f t="shared" ca="1" si="4"/>
        <v>166518698.70599997</v>
      </c>
      <c r="I20" s="176" t="s">
        <v>85</v>
      </c>
      <c r="J20" s="145"/>
      <c r="K20" s="259"/>
      <c r="L20" s="259"/>
      <c r="M20" s="259"/>
    </row>
    <row r="21" spans="1:13" s="20" customFormat="1" x14ac:dyDescent="0.25">
      <c r="A21" s="135" t="s">
        <v>18</v>
      </c>
      <c r="B21" s="292">
        <f>'CapEx &amp; Depreciation'!B18</f>
        <v>0</v>
      </c>
      <c r="C21" s="292">
        <f>'CapEx &amp; Depreciation'!C18</f>
        <v>0</v>
      </c>
      <c r="D21" s="292">
        <f>'CapEx &amp; Depreciation'!D18</f>
        <v>0</v>
      </c>
      <c r="E21" s="292">
        <f>'CapEx &amp; Depreciation'!E18</f>
        <v>0</v>
      </c>
      <c r="F21" s="292">
        <f ca="1">'CapEx &amp; Depreciation'!F18</f>
        <v>-395907.50999999995</v>
      </c>
      <c r="G21" s="292">
        <f ca="1">'CapEx &amp; Depreciation'!G18</f>
        <v>-395907.50999999995</v>
      </c>
      <c r="H21" s="292">
        <f ca="1">'CapEx &amp; Depreciation'!H18</f>
        <v>-395907.50999999995</v>
      </c>
      <c r="I21" s="176" t="s">
        <v>86</v>
      </c>
      <c r="J21" s="145"/>
      <c r="K21" s="259"/>
      <c r="L21" s="259"/>
      <c r="M21" s="259"/>
    </row>
    <row r="22" spans="1:13" s="19" customFormat="1" x14ac:dyDescent="0.25">
      <c r="A22" s="142" t="s">
        <v>17</v>
      </c>
      <c r="B22" s="146">
        <f>'CapEx &amp; Depreciation'!B17</f>
        <v>0</v>
      </c>
      <c r="C22" s="146">
        <f>'CapEx &amp; Depreciation'!C17</f>
        <v>0</v>
      </c>
      <c r="D22" s="146">
        <f>'CapEx &amp; Depreciation'!D17</f>
        <v>0</v>
      </c>
      <c r="E22" s="146">
        <f ca="1">'CapEx &amp; Depreciation'!E17</f>
        <v>-2771352.57</v>
      </c>
      <c r="F22" s="146">
        <f>'CapEx &amp; Depreciation'!F17</f>
        <v>0</v>
      </c>
      <c r="G22" s="146">
        <f>'CapEx &amp; Depreciation'!G17</f>
        <v>0</v>
      </c>
      <c r="H22" s="146">
        <f ca="1">'CapEx &amp; Depreciation'!H17</f>
        <v>1583630.0399999998</v>
      </c>
      <c r="I22" s="176" t="s">
        <v>87</v>
      </c>
      <c r="J22" s="142"/>
      <c r="K22" s="4"/>
      <c r="L22" s="161"/>
      <c r="M22" s="161"/>
    </row>
    <row r="23" spans="1:13" s="19" customFormat="1" x14ac:dyDescent="0.25">
      <c r="A23" s="13" t="s">
        <v>16</v>
      </c>
      <c r="B23" s="126">
        <f t="shared" ref="B23:H23" si="5">B8</f>
        <v>0</v>
      </c>
      <c r="C23" s="126">
        <f t="shared" si="5"/>
        <v>0</v>
      </c>
      <c r="D23" s="126">
        <f t="shared" si="5"/>
        <v>0</v>
      </c>
      <c r="E23" s="126">
        <f ca="1">E8</f>
        <v>5542705.1399999997</v>
      </c>
      <c r="F23" s="126">
        <f ca="1">F8</f>
        <v>5542705.1399999997</v>
      </c>
      <c r="G23" s="126">
        <f ca="1">G8</f>
        <v>5542705.1399999997</v>
      </c>
      <c r="H23" s="126">
        <f t="shared" si="5"/>
        <v>0</v>
      </c>
      <c r="I23" s="176" t="s">
        <v>130</v>
      </c>
      <c r="J23" s="142"/>
      <c r="K23" s="4"/>
      <c r="L23" s="161"/>
      <c r="M23" s="161"/>
    </row>
    <row r="24" spans="1:13" s="19" customFormat="1" x14ac:dyDescent="0.25">
      <c r="A24" s="13" t="s">
        <v>73</v>
      </c>
      <c r="B24" s="146">
        <f>B23</f>
        <v>0</v>
      </c>
      <c r="C24" s="147">
        <f t="shared" ref="C24:D24" si="6">C23-B23</f>
        <v>0</v>
      </c>
      <c r="D24" s="147">
        <f t="shared" si="6"/>
        <v>0</v>
      </c>
      <c r="E24" s="147">
        <f ca="1">E23-D23</f>
        <v>5542705.1399999997</v>
      </c>
      <c r="F24" s="147">
        <f ca="1">F23-E23</f>
        <v>0</v>
      </c>
      <c r="G24" s="147">
        <f ca="1">G23-F23</f>
        <v>0</v>
      </c>
      <c r="H24" s="147">
        <f ca="1">H23-G23</f>
        <v>-5542705.1399999997</v>
      </c>
      <c r="I24" s="176" t="s">
        <v>88</v>
      </c>
      <c r="J24" s="142"/>
      <c r="K24" s="4"/>
      <c r="L24" s="161"/>
      <c r="M24" s="161"/>
    </row>
    <row r="25" spans="1:13" s="19" customFormat="1" x14ac:dyDescent="0.25">
      <c r="A25" s="137" t="s">
        <v>77</v>
      </c>
      <c r="B25" s="148">
        <f>B20+B21+B22-B24</f>
        <v>0</v>
      </c>
      <c r="C25" s="148">
        <f ca="1">C20+C21+C22-C24</f>
        <v>-69056595</v>
      </c>
      <c r="D25" s="148">
        <f ca="1">D20+D21+D22-D24</f>
        <v>-69056595</v>
      </c>
      <c r="E25" s="148">
        <f ca="1">E20+E21+E22-E24</f>
        <v>-77370652.709999993</v>
      </c>
      <c r="F25" s="148">
        <f ca="1">F20+F21+F22-F24</f>
        <v>166122791.19599998</v>
      </c>
      <c r="G25" s="148">
        <f ca="1">G20+G21+G22-G24</f>
        <v>166122791.19599998</v>
      </c>
      <c r="H25" s="148">
        <f ca="1">H20+H21+H22-H24</f>
        <v>173249126.37599996</v>
      </c>
      <c r="I25" s="176" t="s">
        <v>89</v>
      </c>
      <c r="J25" s="142"/>
      <c r="K25" s="4"/>
      <c r="L25" s="161"/>
      <c r="M25" s="161"/>
    </row>
    <row r="26" spans="1:13" s="19" customFormat="1" x14ac:dyDescent="0.25">
      <c r="A26" s="149" t="s">
        <v>75</v>
      </c>
      <c r="B26" s="150">
        <f ca="1">XNPV(B12,B25:H25,B14:H14)</f>
        <v>143392285.94303793</v>
      </c>
      <c r="C26" s="134"/>
      <c r="D26" s="134"/>
      <c r="E26" s="134"/>
      <c r="F26" s="151"/>
      <c r="G26" s="151"/>
      <c r="H26" s="151"/>
      <c r="I26" s="176" t="s">
        <v>82</v>
      </c>
      <c r="J26" s="142"/>
      <c r="K26" s="4"/>
      <c r="L26" s="161"/>
      <c r="M26" s="161"/>
    </row>
    <row r="27" spans="1:13" s="19" customFormat="1" x14ac:dyDescent="0.25">
      <c r="A27" s="88"/>
      <c r="B27" s="152"/>
      <c r="C27" s="151"/>
      <c r="D27" s="151"/>
      <c r="E27" s="151"/>
      <c r="F27" s="151"/>
      <c r="G27" s="151"/>
      <c r="H27" s="151"/>
      <c r="I27" s="176"/>
      <c r="J27" s="142"/>
      <c r="K27" s="4"/>
      <c r="L27" s="161"/>
      <c r="M27" s="161"/>
    </row>
    <row r="28" spans="1:13" s="19" customFormat="1" x14ac:dyDescent="0.25">
      <c r="A28" s="3" t="s">
        <v>35</v>
      </c>
      <c r="B28" s="12"/>
      <c r="C28" s="12"/>
      <c r="D28" s="12"/>
      <c r="E28" s="12"/>
      <c r="F28" s="12"/>
      <c r="G28" s="151"/>
      <c r="H28" s="151"/>
      <c r="I28" s="176"/>
      <c r="J28" s="142"/>
      <c r="K28" s="4"/>
      <c r="L28" s="161"/>
      <c r="M28" s="161"/>
    </row>
    <row r="29" spans="1:13" s="19" customFormat="1" x14ac:dyDescent="0.25">
      <c r="A29" s="153" t="s">
        <v>78</v>
      </c>
      <c r="B29" s="154">
        <f ca="1">B26</f>
        <v>143392285.94303793</v>
      </c>
      <c r="C29" s="13" t="s">
        <v>6</v>
      </c>
      <c r="D29" s="13"/>
      <c r="E29" s="13"/>
      <c r="F29" s="13"/>
      <c r="G29" s="13"/>
      <c r="H29" s="13"/>
      <c r="I29" s="176" t="s">
        <v>90</v>
      </c>
      <c r="J29" s="142"/>
      <c r="K29" s="4"/>
      <c r="L29" s="161"/>
      <c r="M29" s="161"/>
    </row>
    <row r="30" spans="1:13" s="19" customFormat="1" x14ac:dyDescent="0.25">
      <c r="A30" s="153" t="s">
        <v>79</v>
      </c>
      <c r="B30" s="154">
        <f ca="1">Financing!B19</f>
        <v>1214824.252255559</v>
      </c>
      <c r="C30" s="13" t="s">
        <v>6</v>
      </c>
      <c r="D30" s="13"/>
      <c r="E30" s="13"/>
      <c r="F30" s="13"/>
      <c r="G30" s="13"/>
      <c r="H30" s="13"/>
      <c r="I30" s="176" t="s">
        <v>91</v>
      </c>
      <c r="J30" s="142"/>
      <c r="K30" s="4"/>
      <c r="L30" s="161"/>
      <c r="M30" s="161"/>
    </row>
    <row r="31" spans="1:13" s="19" customFormat="1" x14ac:dyDescent="0.25">
      <c r="A31" s="153" t="s">
        <v>80</v>
      </c>
      <c r="B31" s="155">
        <f ca="1">B29+B30</f>
        <v>144607110.19529349</v>
      </c>
      <c r="C31" s="46" t="s">
        <v>138</v>
      </c>
      <c r="D31" s="12"/>
      <c r="E31" s="48"/>
      <c r="F31" s="12"/>
      <c r="G31" s="12"/>
      <c r="H31" s="12"/>
      <c r="I31" s="177" t="s">
        <v>92</v>
      </c>
      <c r="J31" s="142"/>
      <c r="K31" s="4"/>
      <c r="L31" s="161"/>
      <c r="M31" s="161"/>
    </row>
    <row r="32" spans="1:13" s="19" customFormat="1" x14ac:dyDescent="0.25">
      <c r="A32" s="249"/>
      <c r="B32" s="13"/>
      <c r="C32" s="13"/>
      <c r="D32" s="17"/>
      <c r="E32" s="50"/>
      <c r="F32" s="13"/>
      <c r="G32" s="13"/>
      <c r="H32" s="13"/>
      <c r="I32" s="137"/>
      <c r="J32" s="142"/>
      <c r="K32" s="4"/>
      <c r="L32" s="161"/>
      <c r="M32" s="161"/>
    </row>
    <row r="33" spans="9:13" s="19" customFormat="1" x14ac:dyDescent="0.25">
      <c r="I33" s="157"/>
      <c r="J33" s="158"/>
      <c r="K33" s="4"/>
      <c r="L33" s="161"/>
      <c r="M33" s="161"/>
    </row>
    <row r="34" spans="9:13" s="19" customFormat="1" x14ac:dyDescent="0.25">
      <c r="I34" s="157"/>
      <c r="J34" s="158"/>
      <c r="K34" s="4"/>
      <c r="L34" s="161"/>
      <c r="M34" s="161"/>
    </row>
    <row r="35" spans="9:13" s="19" customFormat="1" x14ac:dyDescent="0.25">
      <c r="I35" s="157"/>
      <c r="J35" s="158"/>
      <c r="K35" s="4"/>
      <c r="L35" s="161"/>
      <c r="M35" s="161"/>
    </row>
    <row r="36" spans="9:13" s="19" customFormat="1" x14ac:dyDescent="0.25">
      <c r="I36" s="157"/>
      <c r="J36" s="158"/>
      <c r="K36" s="4"/>
      <c r="L36" s="161"/>
      <c r="M36" s="161"/>
    </row>
    <row r="37" spans="9:13" s="19" customFormat="1" x14ac:dyDescent="0.25">
      <c r="I37" s="157"/>
      <c r="J37" s="158"/>
      <c r="K37" s="4"/>
      <c r="L37" s="161"/>
      <c r="M37" s="161"/>
    </row>
    <row r="38" spans="9:13" s="19" customFormat="1" x14ac:dyDescent="0.25">
      <c r="I38" s="157"/>
      <c r="J38" s="158"/>
      <c r="K38" s="4"/>
      <c r="L38" s="161"/>
      <c r="M38" s="161"/>
    </row>
    <row r="39" spans="9:13" s="19" customFormat="1" x14ac:dyDescent="0.25">
      <c r="I39" s="157"/>
      <c r="J39" s="158"/>
      <c r="K39" s="4"/>
      <c r="L39" s="161"/>
      <c r="M39" s="161"/>
    </row>
    <row r="40" spans="9:13" s="19" customFormat="1" x14ac:dyDescent="0.25">
      <c r="I40" s="157"/>
      <c r="J40" s="158"/>
      <c r="K40" s="4"/>
      <c r="L40" s="161"/>
      <c r="M40" s="161"/>
    </row>
    <row r="41" spans="9:13" s="19" customFormat="1" x14ac:dyDescent="0.25">
      <c r="I41" s="160"/>
      <c r="J41" s="161"/>
      <c r="K41" s="15"/>
      <c r="L41" s="160"/>
    </row>
    <row r="42" spans="9:13" s="19" customFormat="1" x14ac:dyDescent="0.25">
      <c r="I42" s="160"/>
      <c r="J42" s="163"/>
      <c r="K42" s="15"/>
      <c r="L42" s="160"/>
    </row>
    <row r="43" spans="9:13" s="19" customFormat="1" x14ac:dyDescent="0.25">
      <c r="I43" s="158"/>
      <c r="J43" s="164"/>
      <c r="K43" s="15"/>
      <c r="L43" s="158"/>
    </row>
    <row r="44" spans="9:13" s="19" customFormat="1" x14ac:dyDescent="0.25">
      <c r="I44" s="158"/>
      <c r="J44" s="158"/>
      <c r="K44" s="15"/>
      <c r="L44" s="158"/>
    </row>
    <row r="45" spans="9:13" s="19" customFormat="1" x14ac:dyDescent="0.25">
      <c r="I45" s="158"/>
      <c r="J45" s="158"/>
      <c r="K45" s="15"/>
      <c r="L45" s="158"/>
    </row>
    <row r="46" spans="9:13" s="19" customFormat="1" x14ac:dyDescent="0.25">
      <c r="I46" s="158"/>
      <c r="J46" s="158"/>
      <c r="K46" s="158"/>
      <c r="L46" s="158"/>
    </row>
    <row r="47" spans="9:13" s="19" customFormat="1" x14ac:dyDescent="0.25">
      <c r="I47" s="161"/>
      <c r="J47" s="161"/>
      <c r="K47" s="161"/>
      <c r="L47" s="161"/>
    </row>
    <row r="48" spans="9:13" s="19" customFormat="1" x14ac:dyDescent="0.25">
      <c r="I48" s="161"/>
      <c r="J48" s="161"/>
      <c r="K48" s="161"/>
      <c r="L48" s="161"/>
      <c r="M48" s="161"/>
    </row>
    <row r="49" spans="1:13" s="19" customFormat="1" x14ac:dyDescent="0.25">
      <c r="I49" s="161"/>
      <c r="J49" s="161"/>
      <c r="K49" s="161"/>
      <c r="L49" s="161"/>
      <c r="M49" s="161"/>
    </row>
    <row r="50" spans="1:13" s="19" customFormat="1" x14ac:dyDescent="0.25">
      <c r="I50" s="157"/>
      <c r="J50" s="161"/>
      <c r="K50" s="15"/>
      <c r="L50" s="161"/>
      <c r="M50" s="161"/>
    </row>
    <row r="51" spans="1:13" x14ac:dyDescent="0.25">
      <c r="I51" s="258"/>
      <c r="J51" s="260"/>
      <c r="K51" s="205"/>
      <c r="L51" s="258"/>
      <c r="M51" s="258"/>
    </row>
    <row r="52" spans="1:13" x14ac:dyDescent="0.25">
      <c r="I52" s="258"/>
      <c r="J52" s="261"/>
      <c r="K52" s="205"/>
      <c r="L52" s="258"/>
      <c r="M52" s="258"/>
    </row>
    <row r="53" spans="1:13" x14ac:dyDescent="0.25">
      <c r="I53" s="258"/>
      <c r="J53" s="262"/>
      <c r="K53" s="205"/>
      <c r="L53" s="263"/>
      <c r="M53" s="258"/>
    </row>
    <row r="54" spans="1:13" x14ac:dyDescent="0.25">
      <c r="A54" s="262"/>
      <c r="B54" s="205"/>
      <c r="C54" s="258"/>
      <c r="D54" s="258"/>
      <c r="E54" s="258"/>
      <c r="F54" s="257"/>
      <c r="G54" s="258"/>
      <c r="H54" s="258"/>
      <c r="I54" s="258"/>
      <c r="J54" s="262"/>
      <c r="K54" s="205"/>
      <c r="L54" s="258"/>
      <c r="M54" s="258"/>
    </row>
    <row r="55" spans="1:13" x14ac:dyDescent="0.25">
      <c r="A55" s="258"/>
      <c r="B55" s="258"/>
      <c r="C55" s="258"/>
      <c r="D55" s="258"/>
      <c r="E55" s="258"/>
      <c r="F55" s="258"/>
      <c r="G55" s="258"/>
      <c r="H55" s="258"/>
      <c r="I55" s="258"/>
      <c r="J55" s="258"/>
      <c r="K55" s="258"/>
      <c r="L55" s="258"/>
      <c r="M55" s="258"/>
    </row>
    <row r="56" spans="1:13" x14ac:dyDescent="0.25">
      <c r="A56" s="258"/>
      <c r="B56" s="258"/>
      <c r="C56" s="258"/>
      <c r="D56" s="258"/>
      <c r="E56" s="258"/>
      <c r="F56" s="258"/>
      <c r="G56" s="258"/>
      <c r="H56" s="258"/>
      <c r="I56" s="258"/>
      <c r="J56" s="258"/>
      <c r="K56" s="258"/>
      <c r="L56" s="258"/>
      <c r="M56" s="258"/>
    </row>
    <row r="57" spans="1:13" x14ac:dyDescent="0.25">
      <c r="A57" s="258"/>
      <c r="B57" s="264"/>
      <c r="C57" s="258"/>
      <c r="D57" s="258"/>
      <c r="E57" s="258"/>
      <c r="F57" s="258"/>
      <c r="G57" s="258"/>
      <c r="H57" s="258"/>
      <c r="I57" s="258"/>
      <c r="J57" s="258"/>
      <c r="K57" s="264"/>
      <c r="L57" s="258"/>
      <c r="M57" s="258"/>
    </row>
    <row r="58" spans="1:13" x14ac:dyDescent="0.25">
      <c r="A58" s="265"/>
      <c r="B58" s="264"/>
      <c r="C58" s="258"/>
      <c r="D58" s="258"/>
      <c r="E58" s="258"/>
      <c r="F58" s="258"/>
      <c r="G58" s="258"/>
      <c r="H58" s="258"/>
      <c r="I58" s="258"/>
      <c r="J58" s="265"/>
      <c r="K58" s="266"/>
      <c r="L58" s="265"/>
      <c r="M58" s="265"/>
    </row>
    <row r="59" spans="1:13" x14ac:dyDescent="0.25">
      <c r="A59" s="265"/>
      <c r="B59" s="264"/>
      <c r="C59" s="258"/>
      <c r="D59" s="258"/>
      <c r="E59" s="258"/>
      <c r="F59" s="258"/>
      <c r="G59" s="258"/>
      <c r="H59" s="258"/>
      <c r="I59" s="258"/>
      <c r="J59" s="265"/>
      <c r="K59" s="266"/>
      <c r="L59" s="265"/>
      <c r="M59" s="265"/>
    </row>
    <row r="60" spans="1:13" x14ac:dyDescent="0.25">
      <c r="A60" s="265"/>
      <c r="B60" s="258"/>
      <c r="C60" s="258"/>
      <c r="D60" s="258"/>
      <c r="E60" s="258"/>
      <c r="F60" s="258"/>
      <c r="G60" s="258"/>
      <c r="H60" s="267"/>
      <c r="I60" s="258"/>
      <c r="J60" s="265"/>
      <c r="K60" s="265"/>
      <c r="L60" s="265"/>
      <c r="M60" s="265"/>
    </row>
    <row r="61" spans="1:13" x14ac:dyDescent="0.25">
      <c r="A61" s="265"/>
      <c r="B61" s="258"/>
      <c r="C61" s="267"/>
      <c r="D61" s="268"/>
      <c r="E61" s="258"/>
      <c r="F61" s="258"/>
      <c r="G61" s="258"/>
      <c r="H61" s="267"/>
      <c r="I61" s="258"/>
      <c r="J61" s="265"/>
      <c r="K61" s="265"/>
      <c r="L61" s="269"/>
      <c r="M61" s="270"/>
    </row>
    <row r="62" spans="1:13" x14ac:dyDescent="0.25">
      <c r="A62" s="265"/>
      <c r="B62" s="258"/>
      <c r="C62" s="258"/>
      <c r="D62" s="258"/>
      <c r="E62" s="258"/>
      <c r="F62" s="258"/>
      <c r="G62" s="258"/>
      <c r="H62" s="258"/>
      <c r="I62" s="258"/>
      <c r="J62" s="265"/>
      <c r="K62" s="265"/>
      <c r="L62" s="265"/>
      <c r="M62" s="265"/>
    </row>
    <row r="63" spans="1:13" x14ac:dyDescent="0.25">
      <c r="A63" s="258"/>
      <c r="B63" s="255"/>
      <c r="J63" s="258"/>
      <c r="K63" s="256"/>
    </row>
    <row r="64" spans="1:13" x14ac:dyDescent="0.25">
      <c r="A64" s="258"/>
      <c r="J64" s="258"/>
    </row>
    <row r="65" spans="1:10" x14ac:dyDescent="0.25">
      <c r="A65" s="258"/>
      <c r="J65" s="258"/>
    </row>
    <row r="66" spans="1:10" x14ac:dyDescent="0.25">
      <c r="A66" s="258"/>
      <c r="J66" s="258"/>
    </row>
    <row r="67" spans="1:10" x14ac:dyDescent="0.25">
      <c r="A67" s="271"/>
      <c r="B67" s="272"/>
      <c r="C67" s="272"/>
      <c r="D67" s="272"/>
      <c r="E67" s="272"/>
      <c r="F67" s="272"/>
      <c r="G67" s="272"/>
      <c r="H67" s="272"/>
      <c r="I67" s="272"/>
    </row>
  </sheetData>
  <conditionalFormatting sqref="B31">
    <cfRule type="cellIs" dxfId="12" priority="1" operator="greaterThan">
      <formula>0</formula>
    </cfRule>
  </conditionalFormatting>
  <hyperlinks>
    <hyperlink ref="A1" location="Index!A1" display="Back to Index" xr:uid="{3BED56E9-5376-4241-8609-82B42B371D59}"/>
  </hyperlink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076FB-7DE2-4B8B-B9F8-A69E00052469}">
  <sheetPr codeName="Sheet6"/>
  <dimension ref="A1:L18"/>
  <sheetViews>
    <sheetView showGridLines="0" workbookViewId="0">
      <selection activeCell="E38" sqref="E38"/>
    </sheetView>
  </sheetViews>
  <sheetFormatPr defaultRowHeight="15" x14ac:dyDescent="0.25"/>
  <cols>
    <col min="1" max="1" width="32.42578125" style="68" customWidth="1"/>
    <col min="2" max="2" width="15.28515625" style="68" bestFit="1" customWidth="1"/>
    <col min="3" max="3" width="17.5703125" style="68" bestFit="1" customWidth="1"/>
    <col min="4" max="4" width="13.7109375" style="68" bestFit="1" customWidth="1"/>
    <col min="5" max="7" width="15" style="68" bestFit="1" customWidth="1"/>
    <col min="8" max="8" width="16" style="68" bestFit="1" customWidth="1"/>
    <col min="9" max="12" width="13.7109375" style="68" bestFit="1" customWidth="1"/>
    <col min="13" max="16384" width="9.140625" style="68"/>
  </cols>
  <sheetData>
    <row r="1" spans="1:12" s="169" customFormat="1" x14ac:dyDescent="0.25">
      <c r="A1" s="168" t="s">
        <v>5</v>
      </c>
      <c r="C1" s="170"/>
    </row>
    <row r="2" spans="1:12" s="169" customFormat="1" x14ac:dyDescent="0.25">
      <c r="A2" s="168"/>
      <c r="C2" s="170"/>
    </row>
    <row r="3" spans="1:12" s="118" customFormat="1" x14ac:dyDescent="0.25">
      <c r="A3" s="300" t="s">
        <v>177</v>
      </c>
      <c r="B3" s="180"/>
      <c r="C3" s="43" t="s">
        <v>47</v>
      </c>
      <c r="F3" s="118" t="s">
        <v>6</v>
      </c>
    </row>
    <row r="4" spans="1:12" x14ac:dyDescent="0.25">
      <c r="A4" s="115" t="s">
        <v>55</v>
      </c>
      <c r="B4" s="70">
        <f ca="1">1%*DCF!F15</f>
        <v>2771352.57</v>
      </c>
      <c r="C4" s="43" t="s">
        <v>48</v>
      </c>
    </row>
    <row r="5" spans="1:12" x14ac:dyDescent="0.25">
      <c r="A5" s="116" t="s">
        <v>52</v>
      </c>
      <c r="B5" s="101">
        <f ca="1">2%*DCF!F15</f>
        <v>5542705.1399999997</v>
      </c>
      <c r="C5" s="43" t="s">
        <v>49</v>
      </c>
    </row>
    <row r="6" spans="1:12" x14ac:dyDescent="0.25">
      <c r="A6" s="116" t="s">
        <v>53</v>
      </c>
      <c r="B6" s="101">
        <f ca="1">2%*DCF!G15</f>
        <v>5542705.1399999997</v>
      </c>
      <c r="C6" s="43" t="s">
        <v>50</v>
      </c>
    </row>
    <row r="7" spans="1:12" x14ac:dyDescent="0.25">
      <c r="A7" s="116" t="s">
        <v>54</v>
      </c>
      <c r="B7" s="101">
        <f ca="1">2%*DCF!H15</f>
        <v>5542705.1399999997</v>
      </c>
      <c r="C7" s="43" t="s">
        <v>51</v>
      </c>
    </row>
    <row r="8" spans="1:12" x14ac:dyDescent="0.25">
      <c r="A8" s="116" t="s">
        <v>61</v>
      </c>
      <c r="B8" s="124">
        <f ca="1">SUM(B4:B7)</f>
        <v>19399467.989999998</v>
      </c>
      <c r="C8" s="43" t="s">
        <v>62</v>
      </c>
    </row>
    <row r="9" spans="1:12" x14ac:dyDescent="0.25">
      <c r="A9" s="116" t="s">
        <v>22</v>
      </c>
      <c r="B9" s="68">
        <v>7</v>
      </c>
      <c r="C9" s="43" t="s">
        <v>58</v>
      </c>
    </row>
    <row r="10" spans="1:12" x14ac:dyDescent="0.25">
      <c r="A10" s="116" t="s">
        <v>19</v>
      </c>
      <c r="B10" s="101">
        <v>0</v>
      </c>
      <c r="C10" s="43" t="s">
        <v>58</v>
      </c>
    </row>
    <row r="11" spans="1:12" x14ac:dyDescent="0.25">
      <c r="A11" s="116" t="s">
        <v>56</v>
      </c>
      <c r="B11" s="178">
        <v>4</v>
      </c>
      <c r="C11" s="43" t="s">
        <v>58</v>
      </c>
    </row>
    <row r="12" spans="1:12" x14ac:dyDescent="0.25">
      <c r="A12" s="116" t="s">
        <v>21</v>
      </c>
      <c r="B12" s="179">
        <f ca="1">SLN(B4,B10,B9)</f>
        <v>395907.50999999995</v>
      </c>
      <c r="C12" s="43" t="s">
        <v>59</v>
      </c>
    </row>
    <row r="13" spans="1:12" x14ac:dyDescent="0.25">
      <c r="A13" s="116" t="s">
        <v>57</v>
      </c>
      <c r="B13" s="124">
        <f ca="1">B12*B11</f>
        <v>1583630.0399999998</v>
      </c>
      <c r="C13" s="43" t="s">
        <v>60</v>
      </c>
    </row>
    <row r="14" spans="1:12" x14ac:dyDescent="0.25">
      <c r="A14" s="117" t="s">
        <v>20</v>
      </c>
      <c r="B14" s="83">
        <f>DCF!B9</f>
        <v>0.4</v>
      </c>
      <c r="C14" s="44" t="s">
        <v>58</v>
      </c>
    </row>
    <row r="15" spans="1:12" x14ac:dyDescent="0.25">
      <c r="C15" s="6"/>
    </row>
    <row r="16" spans="1:12" x14ac:dyDescent="0.25">
      <c r="A16" s="91" t="s">
        <v>7</v>
      </c>
      <c r="B16" s="112">
        <f ca="1">TODAY()</f>
        <v>45821</v>
      </c>
      <c r="C16" s="113">
        <v>45291</v>
      </c>
      <c r="D16" s="113">
        <f t="shared" ref="D16:K16" si="0">EDATE(C16,12)</f>
        <v>45657</v>
      </c>
      <c r="E16" s="113">
        <f t="shared" si="0"/>
        <v>46022</v>
      </c>
      <c r="F16" s="113">
        <f t="shared" si="0"/>
        <v>46387</v>
      </c>
      <c r="G16" s="113">
        <f t="shared" si="0"/>
        <v>46752</v>
      </c>
      <c r="H16" s="119">
        <f t="shared" si="0"/>
        <v>47118</v>
      </c>
      <c r="I16" s="120">
        <f t="shared" si="0"/>
        <v>47483</v>
      </c>
      <c r="J16" s="120">
        <f t="shared" si="0"/>
        <v>47848</v>
      </c>
      <c r="K16" s="120">
        <f t="shared" si="0"/>
        <v>48213</v>
      </c>
      <c r="L16" s="90"/>
    </row>
    <row r="17" spans="1:12" x14ac:dyDescent="0.25">
      <c r="A17" s="42" t="s">
        <v>17</v>
      </c>
      <c r="B17" s="27">
        <v>0</v>
      </c>
      <c r="C17" s="27">
        <v>0</v>
      </c>
      <c r="D17" s="27">
        <v>0</v>
      </c>
      <c r="E17" s="27">
        <f ca="1">-B4</f>
        <v>-2771352.57</v>
      </c>
      <c r="F17" s="27">
        <v>0</v>
      </c>
      <c r="G17" s="27">
        <v>0</v>
      </c>
      <c r="H17" s="26">
        <f ca="1">B13</f>
        <v>1583630.0399999998</v>
      </c>
      <c r="I17" s="7">
        <v>0</v>
      </c>
      <c r="J17" s="7">
        <v>0</v>
      </c>
      <c r="K17" s="7">
        <v>0</v>
      </c>
      <c r="L17" s="98"/>
    </row>
    <row r="18" spans="1:12" x14ac:dyDescent="0.25">
      <c r="A18" s="40" t="s">
        <v>18</v>
      </c>
      <c r="B18" s="27">
        <v>0</v>
      </c>
      <c r="C18" s="27">
        <v>0</v>
      </c>
      <c r="D18" s="27">
        <v>0</v>
      </c>
      <c r="E18" s="41">
        <v>0</v>
      </c>
      <c r="F18" s="41">
        <f ca="1">-$B$12</f>
        <v>-395907.50999999995</v>
      </c>
      <c r="G18" s="41">
        <f ca="1">-$B$12</f>
        <v>-395907.50999999995</v>
      </c>
      <c r="H18" s="41">
        <f ca="1">-$B$12</f>
        <v>-395907.50999999995</v>
      </c>
      <c r="I18" s="7">
        <f ca="1">SLN($E$17,$B$10,$B$9)</f>
        <v>-395907.50999999995</v>
      </c>
      <c r="J18" s="7">
        <f ca="1">SLN($E$17,$B$10,$B$9)</f>
        <v>-395907.50999999995</v>
      </c>
      <c r="K18" s="7">
        <f ca="1">SLN($E$17,$B$10,$B$9)</f>
        <v>-395907.50999999995</v>
      </c>
      <c r="L18" s="98"/>
    </row>
  </sheetData>
  <hyperlinks>
    <hyperlink ref="A1" location="Index!A1" display="Back to Index" xr:uid="{D570153B-9D38-4208-8522-269F479C4025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A992-B186-4076-AAC6-4C2481EB823A}">
  <sheetPr codeName="Sheet7"/>
  <dimension ref="A1:AM19"/>
  <sheetViews>
    <sheetView showGridLines="0" zoomScale="115" zoomScaleNormal="115" workbookViewId="0">
      <selection activeCell="D26" sqref="D26"/>
    </sheetView>
  </sheetViews>
  <sheetFormatPr defaultRowHeight="15" x14ac:dyDescent="0.25"/>
  <cols>
    <col min="1" max="1" width="30.85546875" style="68" bestFit="1" customWidth="1"/>
    <col min="2" max="2" width="19" style="68" bestFit="1" customWidth="1"/>
    <col min="3" max="3" width="28.28515625" style="68" bestFit="1" customWidth="1"/>
    <col min="4" max="7" width="17.42578125" style="68" bestFit="1" customWidth="1"/>
    <col min="8" max="8" width="18.140625" style="68" bestFit="1" customWidth="1"/>
    <col min="9" max="19" width="15.85546875" style="68" bestFit="1" customWidth="1"/>
    <col min="20" max="33" width="17.42578125" style="68" bestFit="1" customWidth="1"/>
    <col min="34" max="34" width="10.85546875" style="68" bestFit="1" customWidth="1"/>
    <col min="35" max="37" width="14.28515625" style="68" bestFit="1" customWidth="1"/>
    <col min="38" max="38" width="9.140625" style="68"/>
    <col min="39" max="39" width="14.28515625" style="68" bestFit="1" customWidth="1"/>
    <col min="40" max="16384" width="9.140625" style="68"/>
  </cols>
  <sheetData>
    <row r="1" spans="1:39" s="169" customFormat="1" x14ac:dyDescent="0.25">
      <c r="A1" s="168" t="s">
        <v>5</v>
      </c>
    </row>
    <row r="2" spans="1:39" s="169" customFormat="1" x14ac:dyDescent="0.25">
      <c r="A2" s="168"/>
    </row>
    <row r="3" spans="1:39" x14ac:dyDescent="0.25">
      <c r="A3" s="301" t="s">
        <v>35</v>
      </c>
      <c r="B3" s="104"/>
      <c r="C3" s="21" t="s">
        <v>47</v>
      </c>
      <c r="D3" s="81"/>
    </row>
    <row r="4" spans="1:39" x14ac:dyDescent="0.25">
      <c r="A4" s="92" t="s">
        <v>25</v>
      </c>
      <c r="B4" s="93">
        <v>4.8750000000000002E-2</v>
      </c>
      <c r="C4" s="22" t="s">
        <v>58</v>
      </c>
      <c r="D4" s="94"/>
    </row>
    <row r="5" spans="1:39" x14ac:dyDescent="0.25">
      <c r="A5" s="92" t="s">
        <v>26</v>
      </c>
      <c r="B5" s="86">
        <v>30</v>
      </c>
      <c r="C5" s="22" t="s">
        <v>58</v>
      </c>
      <c r="D5" s="94"/>
    </row>
    <row r="6" spans="1:39" x14ac:dyDescent="0.25">
      <c r="A6" s="105" t="s">
        <v>27</v>
      </c>
      <c r="B6" s="106">
        <f ca="1">-XNPV(DCF!B13,DCF!C25:E25,DCF!C14:E14)</f>
        <v>207420984.34923774</v>
      </c>
      <c r="C6" s="23" t="s">
        <v>66</v>
      </c>
      <c r="D6" s="94"/>
    </row>
    <row r="7" spans="1:39" x14ac:dyDescent="0.25">
      <c r="A7" s="105" t="s">
        <v>31</v>
      </c>
      <c r="B7" s="106">
        <f ca="1">110%*B6</f>
        <v>228163082.78416154</v>
      </c>
      <c r="C7" s="23" t="s">
        <v>131</v>
      </c>
      <c r="D7" s="94"/>
    </row>
    <row r="8" spans="1:39" x14ac:dyDescent="0.25">
      <c r="A8" s="105" t="s">
        <v>20</v>
      </c>
      <c r="B8" s="108">
        <v>0.4</v>
      </c>
      <c r="C8" s="25" t="s">
        <v>67</v>
      </c>
      <c r="D8" s="95"/>
    </row>
    <row r="9" spans="1:39" x14ac:dyDescent="0.25">
      <c r="C9" s="5"/>
    </row>
    <row r="10" spans="1:39" ht="15.75" thickBot="1" x14ac:dyDescent="0.3">
      <c r="A10" s="109" t="s">
        <v>36</v>
      </c>
      <c r="B10" s="109"/>
      <c r="C10" s="109"/>
      <c r="D10" s="109"/>
      <c r="E10" s="109" t="s">
        <v>6</v>
      </c>
      <c r="F10" s="109"/>
      <c r="G10" s="109"/>
      <c r="H10" s="109"/>
      <c r="I10" s="110"/>
    </row>
    <row r="11" spans="1:39" ht="15.75" thickTop="1" x14ac:dyDescent="0.25">
      <c r="A11" s="110"/>
      <c r="B11" s="96"/>
      <c r="C11" s="96"/>
      <c r="D11" s="96"/>
      <c r="E11" s="96"/>
      <c r="F11" s="96"/>
      <c r="G11" s="96"/>
    </row>
    <row r="12" spans="1:39" x14ac:dyDescent="0.25">
      <c r="A12" s="111" t="s">
        <v>7</v>
      </c>
      <c r="B12" s="112">
        <v>44926</v>
      </c>
      <c r="C12" s="113">
        <v>45291</v>
      </c>
      <c r="D12" s="113">
        <f>EDATE(C12,12)</f>
        <v>45657</v>
      </c>
      <c r="E12" s="113">
        <f>EDATE(D12,12)</f>
        <v>46022</v>
      </c>
      <c r="F12" s="113">
        <f>EDATE(E12,12)</f>
        <v>46387</v>
      </c>
      <c r="G12" s="113">
        <f>EDATE(F12,12)</f>
        <v>46752</v>
      </c>
      <c r="H12" s="113">
        <f>EDATE(G12,12)</f>
        <v>47118</v>
      </c>
      <c r="I12" s="114">
        <f t="shared" ref="I12:O12" si="0">EDATE(H12,12)</f>
        <v>47483</v>
      </c>
      <c r="J12" s="114">
        <f>EDATE(I12,12)</f>
        <v>47848</v>
      </c>
      <c r="K12" s="114">
        <f t="shared" si="0"/>
        <v>48213</v>
      </c>
      <c r="L12" s="114">
        <f t="shared" si="0"/>
        <v>48579</v>
      </c>
      <c r="M12" s="114">
        <f t="shared" si="0"/>
        <v>48944</v>
      </c>
      <c r="N12" s="114">
        <f t="shared" si="0"/>
        <v>49309</v>
      </c>
      <c r="O12" s="114">
        <f t="shared" si="0"/>
        <v>49674</v>
      </c>
      <c r="P12" s="114">
        <f t="shared" ref="P12:U12" si="1">EDATE(O12,12)</f>
        <v>50040</v>
      </c>
      <c r="Q12" s="114">
        <f t="shared" si="1"/>
        <v>50405</v>
      </c>
      <c r="R12" s="114">
        <f t="shared" si="1"/>
        <v>50770</v>
      </c>
      <c r="S12" s="114">
        <f t="shared" si="1"/>
        <v>51135</v>
      </c>
      <c r="T12" s="114">
        <f t="shared" si="1"/>
        <v>51501</v>
      </c>
      <c r="U12" s="114">
        <f t="shared" si="1"/>
        <v>51866</v>
      </c>
      <c r="V12" s="114">
        <f>EDATE(U12,12)</f>
        <v>52231</v>
      </c>
      <c r="W12" s="114">
        <f>EDATE(V12,12)</f>
        <v>52596</v>
      </c>
      <c r="X12" s="114">
        <f>EDATE(W12,12)</f>
        <v>52962</v>
      </c>
      <c r="Y12" s="114">
        <f t="shared" ref="Y12:AF12" si="2">EDATE(X12,12)</f>
        <v>53327</v>
      </c>
      <c r="Z12" s="114">
        <f t="shared" si="2"/>
        <v>53692</v>
      </c>
      <c r="AA12" s="114">
        <f t="shared" si="2"/>
        <v>54057</v>
      </c>
      <c r="AB12" s="114">
        <f t="shared" si="2"/>
        <v>54423</v>
      </c>
      <c r="AC12" s="114">
        <f t="shared" si="2"/>
        <v>54788</v>
      </c>
      <c r="AD12" s="114">
        <f t="shared" si="2"/>
        <v>55153</v>
      </c>
      <c r="AE12" s="114">
        <f t="shared" si="2"/>
        <v>55518</v>
      </c>
      <c r="AF12" s="114">
        <f t="shared" si="2"/>
        <v>55884</v>
      </c>
      <c r="AG12" s="114">
        <f>EDATE(AF12,12)</f>
        <v>56249</v>
      </c>
      <c r="AH12" s="114">
        <f>EDATE(AG12,12)</f>
        <v>56614</v>
      </c>
      <c r="AI12" s="273"/>
      <c r="AJ12" s="273"/>
      <c r="AK12" s="273"/>
      <c r="AL12" s="273"/>
      <c r="AM12" s="273"/>
    </row>
    <row r="13" spans="1:39" x14ac:dyDescent="0.25">
      <c r="A13" s="97" t="s">
        <v>28</v>
      </c>
      <c r="B13" s="98"/>
      <c r="C13" s="98">
        <f ca="1">B6</f>
        <v>207420984.34923774</v>
      </c>
      <c r="D13" s="98">
        <f ca="1">C17</f>
        <v>207420984.34923774</v>
      </c>
      <c r="E13" s="98">
        <f ca="1">D17</f>
        <v>207420984.34923774</v>
      </c>
      <c r="F13" s="98">
        <f ca="1">E17</f>
        <v>207420984.34923774</v>
      </c>
      <c r="G13" s="98">
        <f ca="1">F17</f>
        <v>207420984.34923774</v>
      </c>
      <c r="H13" s="98">
        <f ca="1">G17</f>
        <v>207420984.34923774</v>
      </c>
      <c r="I13" s="99">
        <f t="shared" ref="I13:X13" ca="1" si="3">H17</f>
        <v>-20742098.434923798</v>
      </c>
      <c r="J13" s="99">
        <f ca="1">I17</f>
        <v>-20742098.434923798</v>
      </c>
      <c r="K13" s="99">
        <f t="shared" ca="1" si="3"/>
        <v>-20742098.434923798</v>
      </c>
      <c r="L13" s="99">
        <f t="shared" ca="1" si="3"/>
        <v>-20742098.434923798</v>
      </c>
      <c r="M13" s="99">
        <f t="shared" ca="1" si="3"/>
        <v>-20742098.434923798</v>
      </c>
      <c r="N13" s="99">
        <f t="shared" ca="1" si="3"/>
        <v>-20742098.434923798</v>
      </c>
      <c r="O13" s="99">
        <f t="shared" ca="1" si="3"/>
        <v>-20742098.434923798</v>
      </c>
      <c r="P13" s="99">
        <f t="shared" ca="1" si="3"/>
        <v>-20742098.434923798</v>
      </c>
      <c r="Q13" s="99">
        <f t="shared" ca="1" si="3"/>
        <v>-20742098.434923798</v>
      </c>
      <c r="R13" s="99">
        <f t="shared" ca="1" si="3"/>
        <v>-20742098.434923798</v>
      </c>
      <c r="S13" s="99">
        <f t="shared" ca="1" si="3"/>
        <v>-20742098.434923798</v>
      </c>
      <c r="T13" s="99">
        <f t="shared" ca="1" si="3"/>
        <v>-20742098.434923798</v>
      </c>
      <c r="U13" s="99">
        <f t="shared" ca="1" si="3"/>
        <v>-20742098.434923798</v>
      </c>
      <c r="V13" s="99">
        <f t="shared" ca="1" si="3"/>
        <v>-20742098.434923798</v>
      </c>
      <c r="W13" s="99">
        <f t="shared" ca="1" si="3"/>
        <v>-20742098.434923798</v>
      </c>
      <c r="X13" s="99">
        <f t="shared" ca="1" si="3"/>
        <v>-20742098.434923798</v>
      </c>
      <c r="Y13" s="99">
        <f t="shared" ref="Y13:AF13" ca="1" si="4">X17</f>
        <v>-20742098.434923798</v>
      </c>
      <c r="Z13" s="99">
        <f t="shared" ca="1" si="4"/>
        <v>-20742098.434923798</v>
      </c>
      <c r="AA13" s="99">
        <f t="shared" ca="1" si="4"/>
        <v>-20742098.434923798</v>
      </c>
      <c r="AB13" s="99">
        <f t="shared" ca="1" si="4"/>
        <v>-20742098.434923798</v>
      </c>
      <c r="AC13" s="99">
        <f t="shared" ca="1" si="4"/>
        <v>-20742098.434923798</v>
      </c>
      <c r="AD13" s="99">
        <f t="shared" ca="1" si="4"/>
        <v>-20742098.434923798</v>
      </c>
      <c r="AE13" s="99">
        <f t="shared" ca="1" si="4"/>
        <v>-20742098.434923798</v>
      </c>
      <c r="AF13" s="99">
        <f t="shared" ca="1" si="4"/>
        <v>-20742098.434923798</v>
      </c>
      <c r="AG13" s="99">
        <f ca="1">AF17</f>
        <v>-20742098.434923798</v>
      </c>
      <c r="AH13" s="99"/>
      <c r="AI13" s="178"/>
      <c r="AJ13" s="178"/>
      <c r="AK13" s="178"/>
      <c r="AL13" s="178"/>
      <c r="AM13" s="178"/>
    </row>
    <row r="14" spans="1:39" x14ac:dyDescent="0.25">
      <c r="A14" s="97" t="s">
        <v>29</v>
      </c>
      <c r="B14" s="98"/>
      <c r="C14" s="98">
        <v>0</v>
      </c>
      <c r="D14" s="98">
        <f ca="1">D13*$B$4</f>
        <v>10111772.987025341</v>
      </c>
      <c r="E14" s="98">
        <f t="shared" ref="E14:I14" ca="1" si="5">E13*$B$4</f>
        <v>10111772.987025341</v>
      </c>
      <c r="F14" s="98">
        <f t="shared" ca="1" si="5"/>
        <v>10111772.987025341</v>
      </c>
      <c r="G14" s="98">
        <f t="shared" ca="1" si="5"/>
        <v>10111772.987025341</v>
      </c>
      <c r="H14" s="98">
        <f t="shared" ca="1" si="5"/>
        <v>10111772.987025341</v>
      </c>
      <c r="I14" s="99">
        <f t="shared" ca="1" si="5"/>
        <v>-1011177.2987025352</v>
      </c>
      <c r="J14" s="99">
        <f t="shared" ref="J14:AG14" ca="1" si="6">J13*$B$4</f>
        <v>-1011177.2987025352</v>
      </c>
      <c r="K14" s="99">
        <f t="shared" ca="1" si="6"/>
        <v>-1011177.2987025352</v>
      </c>
      <c r="L14" s="99">
        <f t="shared" ca="1" si="6"/>
        <v>-1011177.2987025352</v>
      </c>
      <c r="M14" s="99">
        <f t="shared" ca="1" si="6"/>
        <v>-1011177.2987025352</v>
      </c>
      <c r="N14" s="99">
        <f t="shared" ca="1" si="6"/>
        <v>-1011177.2987025352</v>
      </c>
      <c r="O14" s="99">
        <f t="shared" ca="1" si="6"/>
        <v>-1011177.2987025352</v>
      </c>
      <c r="P14" s="99">
        <f t="shared" ca="1" si="6"/>
        <v>-1011177.2987025352</v>
      </c>
      <c r="Q14" s="99">
        <f t="shared" ca="1" si="6"/>
        <v>-1011177.2987025352</v>
      </c>
      <c r="R14" s="99">
        <f t="shared" ca="1" si="6"/>
        <v>-1011177.2987025352</v>
      </c>
      <c r="S14" s="99">
        <f t="shared" ca="1" si="6"/>
        <v>-1011177.2987025352</v>
      </c>
      <c r="T14" s="99">
        <f t="shared" ca="1" si="6"/>
        <v>-1011177.2987025352</v>
      </c>
      <c r="U14" s="99">
        <f t="shared" ca="1" si="6"/>
        <v>-1011177.2987025352</v>
      </c>
      <c r="V14" s="99">
        <f t="shared" ca="1" si="6"/>
        <v>-1011177.2987025352</v>
      </c>
      <c r="W14" s="99">
        <f t="shared" ca="1" si="6"/>
        <v>-1011177.2987025352</v>
      </c>
      <c r="X14" s="99">
        <f t="shared" ca="1" si="6"/>
        <v>-1011177.2987025352</v>
      </c>
      <c r="Y14" s="99">
        <f t="shared" ca="1" si="6"/>
        <v>-1011177.2987025352</v>
      </c>
      <c r="Z14" s="99">
        <f t="shared" ca="1" si="6"/>
        <v>-1011177.2987025352</v>
      </c>
      <c r="AA14" s="99">
        <f t="shared" ca="1" si="6"/>
        <v>-1011177.2987025352</v>
      </c>
      <c r="AB14" s="99">
        <f t="shared" ca="1" si="6"/>
        <v>-1011177.2987025352</v>
      </c>
      <c r="AC14" s="99">
        <f t="shared" ca="1" si="6"/>
        <v>-1011177.2987025352</v>
      </c>
      <c r="AD14" s="99">
        <f t="shared" ca="1" si="6"/>
        <v>-1011177.2987025352</v>
      </c>
      <c r="AE14" s="99">
        <f t="shared" ca="1" si="6"/>
        <v>-1011177.2987025352</v>
      </c>
      <c r="AF14" s="99">
        <f t="shared" ca="1" si="6"/>
        <v>-1011177.2987025352</v>
      </c>
      <c r="AG14" s="99">
        <f t="shared" ca="1" si="6"/>
        <v>-1011177.2987025352</v>
      </c>
      <c r="AH14" s="99"/>
      <c r="AI14" s="178"/>
      <c r="AJ14" s="178"/>
      <c r="AK14" s="178"/>
      <c r="AL14" s="178"/>
      <c r="AM14" s="178"/>
    </row>
    <row r="15" spans="1:39" x14ac:dyDescent="0.25">
      <c r="A15" s="97" t="s">
        <v>30</v>
      </c>
      <c r="B15" s="98"/>
      <c r="C15" s="98">
        <v>0</v>
      </c>
      <c r="D15" s="98">
        <f ca="1">D14*DCF!$B$9</f>
        <v>4044709.1948101367</v>
      </c>
      <c r="E15" s="98">
        <f ca="1">E14*DCF!$B$9</f>
        <v>4044709.1948101367</v>
      </c>
      <c r="F15" s="98">
        <f ca="1">F14*DCF!$B$9</f>
        <v>4044709.1948101367</v>
      </c>
      <c r="G15" s="98">
        <f ca="1">G14*DCF!$B$9</f>
        <v>4044709.1948101367</v>
      </c>
      <c r="H15" s="98">
        <f ca="1">H14*DCF!$B$9</f>
        <v>4044709.1948101367</v>
      </c>
      <c r="I15" s="99">
        <f ca="1">I14*DCF!$B$9</f>
        <v>-404470.91948101413</v>
      </c>
      <c r="J15" s="99">
        <f ca="1">J14*DCF!$B$9</f>
        <v>-404470.91948101413</v>
      </c>
      <c r="K15" s="99">
        <f ca="1">K14*DCF!$B$9</f>
        <v>-404470.91948101413</v>
      </c>
      <c r="L15" s="99">
        <f ca="1">L14*DCF!$B$9</f>
        <v>-404470.91948101413</v>
      </c>
      <c r="M15" s="99">
        <f ca="1">M14*DCF!$B$9</f>
        <v>-404470.91948101413</v>
      </c>
      <c r="N15" s="99">
        <f ca="1">N14*DCF!$B$9</f>
        <v>-404470.91948101413</v>
      </c>
      <c r="O15" s="99">
        <f ca="1">O14*DCF!$B$9</f>
        <v>-404470.91948101413</v>
      </c>
      <c r="P15" s="99">
        <f ca="1">P14*DCF!$B$9</f>
        <v>-404470.91948101413</v>
      </c>
      <c r="Q15" s="99">
        <f ca="1">Q14*DCF!$B$9</f>
        <v>-404470.91948101413</v>
      </c>
      <c r="R15" s="99">
        <f ca="1">R14*DCF!$B$9</f>
        <v>-404470.91948101413</v>
      </c>
      <c r="S15" s="99">
        <f ca="1">S14*DCF!$B$9</f>
        <v>-404470.91948101413</v>
      </c>
      <c r="T15" s="99">
        <f ca="1">T14*DCF!$B$9</f>
        <v>-404470.91948101413</v>
      </c>
      <c r="U15" s="99">
        <f ca="1">U14*DCF!$B$9</f>
        <v>-404470.91948101413</v>
      </c>
      <c r="V15" s="99">
        <f ca="1">V14*DCF!$B$9</f>
        <v>-404470.91948101413</v>
      </c>
      <c r="W15" s="99">
        <f ca="1">W14*DCF!$B$9</f>
        <v>-404470.91948101413</v>
      </c>
      <c r="X15" s="99">
        <f ca="1">X14*DCF!$B$9</f>
        <v>-404470.91948101413</v>
      </c>
      <c r="Y15" s="99">
        <f ca="1">Y14*DCF!$B$9</f>
        <v>-404470.91948101413</v>
      </c>
      <c r="Z15" s="99">
        <f ca="1">Z14*DCF!$B$9</f>
        <v>-404470.91948101413</v>
      </c>
      <c r="AA15" s="99">
        <f ca="1">AA14*DCF!$B$9</f>
        <v>-404470.91948101413</v>
      </c>
      <c r="AB15" s="99">
        <f ca="1">AB14*DCF!$B$9</f>
        <v>-404470.91948101413</v>
      </c>
      <c r="AC15" s="99">
        <f ca="1">AC14*DCF!$B$9</f>
        <v>-404470.91948101413</v>
      </c>
      <c r="AD15" s="99">
        <f ca="1">AD14*DCF!$B$9</f>
        <v>-404470.91948101413</v>
      </c>
      <c r="AE15" s="99">
        <f ca="1">AE14*DCF!$B$9</f>
        <v>-404470.91948101413</v>
      </c>
      <c r="AF15" s="99">
        <f ca="1">AF14*DCF!$B$9</f>
        <v>-404470.91948101413</v>
      </c>
      <c r="AG15" s="99">
        <f ca="1">AG14*DCF!$B$9</f>
        <v>-404470.91948101413</v>
      </c>
      <c r="AH15" s="99"/>
      <c r="AI15" s="178"/>
      <c r="AJ15" s="178"/>
      <c r="AK15" s="178"/>
      <c r="AL15" s="178"/>
      <c r="AM15" s="178"/>
    </row>
    <row r="16" spans="1:39" x14ac:dyDescent="0.25">
      <c r="A16" s="97" t="s">
        <v>94</v>
      </c>
      <c r="B16" s="98"/>
      <c r="C16" s="98">
        <v>0</v>
      </c>
      <c r="D16" s="98">
        <v>0</v>
      </c>
      <c r="E16" s="98">
        <v>0</v>
      </c>
      <c r="F16" s="98">
        <v>0</v>
      </c>
      <c r="G16" s="98">
        <v>0</v>
      </c>
      <c r="H16" s="98">
        <f ca="1">B7</f>
        <v>228163082.78416154</v>
      </c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178"/>
      <c r="AJ16" s="178"/>
      <c r="AK16" s="178"/>
      <c r="AL16" s="178"/>
      <c r="AM16" s="178"/>
    </row>
    <row r="17" spans="1:39" x14ac:dyDescent="0.25">
      <c r="A17" s="97" t="s">
        <v>65</v>
      </c>
      <c r="B17" s="71">
        <v>0</v>
      </c>
      <c r="C17" s="71">
        <f t="shared" ref="C17:H17" ca="1" si="7">C13-C16</f>
        <v>207420984.34923774</v>
      </c>
      <c r="D17" s="71">
        <f t="shared" ca="1" si="7"/>
        <v>207420984.34923774</v>
      </c>
      <c r="E17" s="71">
        <f t="shared" ca="1" si="7"/>
        <v>207420984.34923774</v>
      </c>
      <c r="F17" s="71">
        <f t="shared" ca="1" si="7"/>
        <v>207420984.34923774</v>
      </c>
      <c r="G17" s="71">
        <f t="shared" ca="1" si="7"/>
        <v>207420984.34923774</v>
      </c>
      <c r="H17" s="71">
        <f t="shared" ca="1" si="7"/>
        <v>-20742098.434923798</v>
      </c>
      <c r="I17" s="99">
        <f t="shared" ref="I17:AG17" ca="1" si="8">I13-I16</f>
        <v>-20742098.434923798</v>
      </c>
      <c r="J17" s="99">
        <f t="shared" ca="1" si="8"/>
        <v>-20742098.434923798</v>
      </c>
      <c r="K17" s="99">
        <f t="shared" ca="1" si="8"/>
        <v>-20742098.434923798</v>
      </c>
      <c r="L17" s="99">
        <f t="shared" ca="1" si="8"/>
        <v>-20742098.434923798</v>
      </c>
      <c r="M17" s="99">
        <f t="shared" ca="1" si="8"/>
        <v>-20742098.434923798</v>
      </c>
      <c r="N17" s="99">
        <f t="shared" ca="1" si="8"/>
        <v>-20742098.434923798</v>
      </c>
      <c r="O17" s="99">
        <f t="shared" ca="1" si="8"/>
        <v>-20742098.434923798</v>
      </c>
      <c r="P17" s="99">
        <f t="shared" ca="1" si="8"/>
        <v>-20742098.434923798</v>
      </c>
      <c r="Q17" s="99">
        <f t="shared" ca="1" si="8"/>
        <v>-20742098.434923798</v>
      </c>
      <c r="R17" s="99">
        <f t="shared" ca="1" si="8"/>
        <v>-20742098.434923798</v>
      </c>
      <c r="S17" s="99">
        <f t="shared" ca="1" si="8"/>
        <v>-20742098.434923798</v>
      </c>
      <c r="T17" s="99">
        <f t="shared" ca="1" si="8"/>
        <v>-20742098.434923798</v>
      </c>
      <c r="U17" s="99">
        <f t="shared" ca="1" si="8"/>
        <v>-20742098.434923798</v>
      </c>
      <c r="V17" s="99">
        <f t="shared" ca="1" si="8"/>
        <v>-20742098.434923798</v>
      </c>
      <c r="W17" s="99">
        <f t="shared" ca="1" si="8"/>
        <v>-20742098.434923798</v>
      </c>
      <c r="X17" s="99">
        <f t="shared" ca="1" si="8"/>
        <v>-20742098.434923798</v>
      </c>
      <c r="Y17" s="99">
        <f t="shared" ca="1" si="8"/>
        <v>-20742098.434923798</v>
      </c>
      <c r="Z17" s="99">
        <f t="shared" ca="1" si="8"/>
        <v>-20742098.434923798</v>
      </c>
      <c r="AA17" s="99">
        <f t="shared" ca="1" si="8"/>
        <v>-20742098.434923798</v>
      </c>
      <c r="AB17" s="99">
        <f t="shared" ca="1" si="8"/>
        <v>-20742098.434923798</v>
      </c>
      <c r="AC17" s="99">
        <f t="shared" ca="1" si="8"/>
        <v>-20742098.434923798</v>
      </c>
      <c r="AD17" s="99">
        <f t="shared" ca="1" si="8"/>
        <v>-20742098.434923798</v>
      </c>
      <c r="AE17" s="99">
        <f t="shared" ca="1" si="8"/>
        <v>-20742098.434923798</v>
      </c>
      <c r="AF17" s="99">
        <f t="shared" ca="1" si="8"/>
        <v>-20742098.434923798</v>
      </c>
      <c r="AG17" s="99">
        <f t="shared" ca="1" si="8"/>
        <v>-20742098.434923798</v>
      </c>
      <c r="AH17" s="99"/>
      <c r="AI17" s="178"/>
      <c r="AJ17" s="178"/>
      <c r="AK17" s="178"/>
      <c r="AL17" s="178"/>
      <c r="AM17" s="178"/>
    </row>
    <row r="18" spans="1:39" x14ac:dyDescent="0.25">
      <c r="A18" s="8" t="s">
        <v>32</v>
      </c>
      <c r="B18" s="9">
        <f>B17</f>
        <v>0</v>
      </c>
      <c r="C18" s="9">
        <f ca="1">C17</f>
        <v>207420984.34923774</v>
      </c>
      <c r="D18" s="9">
        <f ca="1">-D14+D15-D16</f>
        <v>-6067063.7922152039</v>
      </c>
      <c r="E18" s="9">
        <f ca="1">-E14+E15-E16</f>
        <v>-6067063.7922152039</v>
      </c>
      <c r="F18" s="9">
        <f ca="1">-F14+F15-F16</f>
        <v>-6067063.7922152039</v>
      </c>
      <c r="G18" s="9">
        <f ca="1">-G14+G15-G16</f>
        <v>-6067063.7922152039</v>
      </c>
      <c r="H18" s="9">
        <f ca="1">-H14+H15-H16</f>
        <v>-234230146.57637674</v>
      </c>
      <c r="I18" s="45">
        <f t="shared" ref="I18:AH18" ca="1" si="9">-I14+I15-I16</f>
        <v>606706.37922152109</v>
      </c>
      <c r="J18" s="45">
        <f t="shared" ca="1" si="9"/>
        <v>606706.37922152109</v>
      </c>
      <c r="K18" s="45">
        <f t="shared" ca="1" si="9"/>
        <v>606706.37922152109</v>
      </c>
      <c r="L18" s="45">
        <f t="shared" ca="1" si="9"/>
        <v>606706.37922152109</v>
      </c>
      <c r="M18" s="45">
        <f t="shared" ca="1" si="9"/>
        <v>606706.37922152109</v>
      </c>
      <c r="N18" s="45">
        <f t="shared" ca="1" si="9"/>
        <v>606706.37922152109</v>
      </c>
      <c r="O18" s="45">
        <f t="shared" ca="1" si="9"/>
        <v>606706.37922152109</v>
      </c>
      <c r="P18" s="45">
        <f t="shared" ca="1" si="9"/>
        <v>606706.37922152109</v>
      </c>
      <c r="Q18" s="45">
        <f t="shared" ca="1" si="9"/>
        <v>606706.37922152109</v>
      </c>
      <c r="R18" s="45">
        <f t="shared" ca="1" si="9"/>
        <v>606706.37922152109</v>
      </c>
      <c r="S18" s="45">
        <f t="shared" ca="1" si="9"/>
        <v>606706.37922152109</v>
      </c>
      <c r="T18" s="45">
        <f t="shared" ca="1" si="9"/>
        <v>606706.37922152109</v>
      </c>
      <c r="U18" s="45">
        <f t="shared" ca="1" si="9"/>
        <v>606706.37922152109</v>
      </c>
      <c r="V18" s="45">
        <f t="shared" ca="1" si="9"/>
        <v>606706.37922152109</v>
      </c>
      <c r="W18" s="45">
        <f t="shared" ca="1" si="9"/>
        <v>606706.37922152109</v>
      </c>
      <c r="X18" s="45">
        <f t="shared" ca="1" si="9"/>
        <v>606706.37922152109</v>
      </c>
      <c r="Y18" s="45">
        <f t="shared" ca="1" si="9"/>
        <v>606706.37922152109</v>
      </c>
      <c r="Z18" s="45">
        <f t="shared" ca="1" si="9"/>
        <v>606706.37922152109</v>
      </c>
      <c r="AA18" s="45">
        <f t="shared" ca="1" si="9"/>
        <v>606706.37922152109</v>
      </c>
      <c r="AB18" s="45">
        <f t="shared" ca="1" si="9"/>
        <v>606706.37922152109</v>
      </c>
      <c r="AC18" s="45">
        <f t="shared" ca="1" si="9"/>
        <v>606706.37922152109</v>
      </c>
      <c r="AD18" s="45">
        <f t="shared" ca="1" si="9"/>
        <v>606706.37922152109</v>
      </c>
      <c r="AE18" s="45">
        <f t="shared" ca="1" si="9"/>
        <v>606706.37922152109</v>
      </c>
      <c r="AF18" s="45">
        <f t="shared" ca="1" si="9"/>
        <v>606706.37922152109</v>
      </c>
      <c r="AG18" s="45">
        <f t="shared" ca="1" si="9"/>
        <v>606706.37922152109</v>
      </c>
      <c r="AH18" s="45">
        <f t="shared" si="9"/>
        <v>0</v>
      </c>
    </row>
    <row r="19" spans="1:39" x14ac:dyDescent="0.25">
      <c r="A19" s="8" t="s">
        <v>33</v>
      </c>
      <c r="B19" s="10">
        <f ca="1">XNPV(B4,B18:H18,B12:H12)</f>
        <v>1214824.252255559</v>
      </c>
      <c r="C19" s="11" t="s">
        <v>68</v>
      </c>
      <c r="D19" s="101"/>
      <c r="E19" s="101"/>
      <c r="F19" s="101"/>
      <c r="G19" s="101"/>
      <c r="H19" s="101"/>
    </row>
  </sheetData>
  <conditionalFormatting sqref="B19">
    <cfRule type="cellIs" dxfId="11" priority="1" operator="lessThan">
      <formula>0</formula>
    </cfRule>
    <cfRule type="cellIs" dxfId="10" priority="2" operator="greaterThan">
      <formula>0</formula>
    </cfRule>
  </conditionalFormatting>
  <hyperlinks>
    <hyperlink ref="A1" location="Index!A1" display="Back to Index" xr:uid="{AB23F509-F78F-477D-BADF-C00B04FF67C9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C771-888A-437A-8AF3-413F13B37BCB}">
  <sheetPr codeName="Sheet8"/>
  <dimension ref="A1:I305"/>
  <sheetViews>
    <sheetView showGridLines="0" topLeftCell="A109" zoomScale="70" zoomScaleNormal="70" workbookViewId="0">
      <selection activeCell="B145" sqref="B145"/>
    </sheetView>
  </sheetViews>
  <sheetFormatPr defaultRowHeight="15" x14ac:dyDescent="0.25"/>
  <cols>
    <col min="1" max="2" width="28.5703125" style="68" bestFit="1" customWidth="1"/>
    <col min="3" max="3" width="20.7109375" style="68" bestFit="1" customWidth="1"/>
    <col min="4" max="4" width="23.28515625" style="68" bestFit="1" customWidth="1"/>
    <col min="5" max="5" width="18.85546875" style="68" bestFit="1" customWidth="1"/>
    <col min="6" max="7" width="19.28515625" style="68" bestFit="1" customWidth="1"/>
    <col min="8" max="8" width="22" style="68" bestFit="1" customWidth="1"/>
    <col min="9" max="9" width="72.5703125" style="68" bestFit="1" customWidth="1"/>
    <col min="10" max="16384" width="9.140625" style="68"/>
  </cols>
  <sheetData>
    <row r="1" spans="1:9" s="169" customFormat="1" x14ac:dyDescent="0.25">
      <c r="A1" s="168" t="s">
        <v>5</v>
      </c>
    </row>
    <row r="2" spans="1:9" s="169" customFormat="1" x14ac:dyDescent="0.25">
      <c r="A2" s="168"/>
    </row>
    <row r="3" spans="1:9" x14ac:dyDescent="0.25">
      <c r="A3" s="91" t="s">
        <v>7</v>
      </c>
      <c r="B3" s="123">
        <f ca="1">TODAY()</f>
        <v>45821</v>
      </c>
      <c r="C3" s="119">
        <v>45291</v>
      </c>
      <c r="D3" s="119">
        <f>EDATE(C3,12)</f>
        <v>45657</v>
      </c>
      <c r="E3" s="119">
        <f>EDATE(D3,12)</f>
        <v>46022</v>
      </c>
      <c r="F3" s="119">
        <f>EDATE(E3,12)</f>
        <v>46387</v>
      </c>
      <c r="G3" s="119">
        <f>EDATE(F3,12)</f>
        <v>46752</v>
      </c>
      <c r="H3" s="119">
        <f>EDATE(G3,12)</f>
        <v>47118</v>
      </c>
      <c r="I3" s="254" t="s">
        <v>47</v>
      </c>
    </row>
    <row r="4" spans="1:9" x14ac:dyDescent="0.25">
      <c r="A4" s="201" t="s">
        <v>23</v>
      </c>
      <c r="B4" s="202"/>
      <c r="C4" s="60"/>
      <c r="D4" s="60"/>
      <c r="E4" s="60"/>
      <c r="F4" s="62"/>
      <c r="G4" s="62"/>
      <c r="H4" s="198"/>
      <c r="I4" s="181" t="s">
        <v>47</v>
      </c>
    </row>
    <row r="5" spans="1:9" x14ac:dyDescent="0.25">
      <c r="A5" s="31" t="s">
        <v>9</v>
      </c>
      <c r="B5" s="32"/>
      <c r="C5" s="60"/>
      <c r="D5" s="62"/>
      <c r="E5" s="62"/>
      <c r="F5" s="70">
        <f ca="1">Data!$D$5*(1+F27)</f>
        <v>277135257</v>
      </c>
      <c r="G5" s="70">
        <f ca="1">Data!$D$5*(1+G27)</f>
        <v>277135257</v>
      </c>
      <c r="H5" s="295">
        <f ca="1">Data!$D$5*(1+H27)</f>
        <v>277135257</v>
      </c>
      <c r="I5" s="37" t="s">
        <v>108</v>
      </c>
    </row>
    <row r="6" spans="1:9" x14ac:dyDescent="0.25">
      <c r="A6" s="33" t="s">
        <v>11</v>
      </c>
      <c r="B6" s="35"/>
      <c r="C6" s="61"/>
      <c r="D6" s="63"/>
      <c r="E6" s="63"/>
      <c r="F6" s="71">
        <f>Data!$D$7</f>
        <v>433748762</v>
      </c>
      <c r="G6" s="71">
        <f>Data!$D$7</f>
        <v>433748762</v>
      </c>
      <c r="H6" s="296">
        <f>Data!$D$7</f>
        <v>433748762</v>
      </c>
      <c r="I6" s="37" t="s">
        <v>109</v>
      </c>
    </row>
    <row r="7" spans="1:9" x14ac:dyDescent="0.25">
      <c r="A7" s="203" t="s">
        <v>171</v>
      </c>
      <c r="B7" s="4"/>
      <c r="C7" s="89"/>
      <c r="D7" s="90"/>
      <c r="E7" s="90"/>
      <c r="F7" s="90"/>
      <c r="G7" s="90"/>
      <c r="H7" s="204"/>
      <c r="I7" s="182"/>
    </row>
    <row r="8" spans="1:9" x14ac:dyDescent="0.25">
      <c r="A8" s="31" t="s">
        <v>9</v>
      </c>
      <c r="B8" s="32"/>
      <c r="C8" s="70">
        <f>Data!$D$12</f>
        <v>115094325</v>
      </c>
      <c r="D8" s="70">
        <f>Data!$D$12</f>
        <v>115094325</v>
      </c>
      <c r="E8" s="70">
        <f>Data!$D$12</f>
        <v>115094325</v>
      </c>
      <c r="F8" s="64"/>
      <c r="G8" s="62"/>
      <c r="H8" s="198"/>
      <c r="I8" s="195"/>
    </row>
    <row r="9" spans="1:9" x14ac:dyDescent="0.25">
      <c r="A9" s="33" t="s">
        <v>11</v>
      </c>
      <c r="B9" s="34"/>
      <c r="C9" s="71">
        <f>Data!$D$14</f>
        <v>129044532</v>
      </c>
      <c r="D9" s="71">
        <f>Data!$D$14</f>
        <v>129044532</v>
      </c>
      <c r="E9" s="71">
        <f>Data!$D$14</f>
        <v>129044532</v>
      </c>
      <c r="F9" s="77"/>
      <c r="G9" s="77"/>
      <c r="H9" s="95"/>
      <c r="I9" s="196" t="s">
        <v>110</v>
      </c>
    </row>
    <row r="10" spans="1:9" x14ac:dyDescent="0.25">
      <c r="A10" s="197" t="s">
        <v>38</v>
      </c>
      <c r="B10" s="3"/>
      <c r="C10" s="66"/>
      <c r="D10" s="66"/>
      <c r="E10" s="66"/>
      <c r="H10" s="94"/>
      <c r="I10" s="183" t="s">
        <v>111</v>
      </c>
    </row>
    <row r="11" spans="1:9" x14ac:dyDescent="0.25">
      <c r="A11" s="248" t="s">
        <v>39</v>
      </c>
      <c r="B11" s="249"/>
      <c r="C11" s="65"/>
      <c r="D11" s="65"/>
      <c r="E11" s="65"/>
      <c r="F11" s="65">
        <f ca="1">RAND()</f>
        <v>0.30257509409596606</v>
      </c>
      <c r="G11" s="65">
        <f ca="1">RAND()</f>
        <v>0.66179508022540867</v>
      </c>
      <c r="H11" s="73">
        <f ca="1">RAND()</f>
        <v>0.67240485435510555</v>
      </c>
      <c r="I11" s="184" t="s">
        <v>112</v>
      </c>
    </row>
    <row r="12" spans="1:9" x14ac:dyDescent="0.25">
      <c r="A12" s="248" t="s">
        <v>40</v>
      </c>
      <c r="B12" s="249"/>
      <c r="C12" s="65"/>
      <c r="D12" s="65"/>
      <c r="E12" s="65"/>
      <c r="F12" s="65">
        <f ca="1">LN( (F5^2) /SQRT( (F5^2)+(F6^2) ) )</f>
        <v>18.820888925005367</v>
      </c>
      <c r="G12" s="65">
        <f ca="1">LN( (G5^2) /SQRT( (G5^2)+(G6^2) ) )</f>
        <v>18.820888925005367</v>
      </c>
      <c r="H12" s="73">
        <f ca="1">LN( (H5^2) /SQRT( (H5^2)+(H6^2) ) )</f>
        <v>18.820888925005367</v>
      </c>
      <c r="I12" s="183" t="s">
        <v>113</v>
      </c>
    </row>
    <row r="13" spans="1:9" x14ac:dyDescent="0.25">
      <c r="A13" s="248" t="s">
        <v>41</v>
      </c>
      <c r="B13" s="249"/>
      <c r="C13" s="66"/>
      <c r="D13" s="66"/>
      <c r="E13" s="66"/>
      <c r="F13" s="66">
        <f ca="1">SQRT( LN( 1 + ( (F6^2) / (F5^2) ) ) )</f>
        <v>1.1127688999869381</v>
      </c>
      <c r="G13" s="66">
        <f ca="1">SQRT( LN( 1 + ( (G6^2) / (G5^2) ) ) )</f>
        <v>1.1127688999869381</v>
      </c>
      <c r="H13" s="74">
        <f ca="1">SQRT( LN( 1 + ( (H6^2) / (H5^2) ) ) )</f>
        <v>1.1127688999869381</v>
      </c>
      <c r="I13" s="183"/>
    </row>
    <row r="14" spans="1:9" x14ac:dyDescent="0.25">
      <c r="A14" s="250" t="s">
        <v>34</v>
      </c>
      <c r="B14" s="251"/>
      <c r="C14" s="67"/>
      <c r="D14" s="67"/>
      <c r="E14" s="67"/>
      <c r="F14" s="297">
        <f ca="1">_xlfn.LOGNORM.INV(F11,F12,F13)</f>
        <v>83937068.047738597</v>
      </c>
      <c r="G14" s="297">
        <f ca="1">_xlfn.LOGNORM.INV(G11,G12,G13)</f>
        <v>237415462.17670932</v>
      </c>
      <c r="H14" s="298">
        <f ca="1">_xlfn.LOGNORM.INV(H11,H12,H13)</f>
        <v>245255441.29505154</v>
      </c>
      <c r="I14" s="37" t="s">
        <v>114</v>
      </c>
    </row>
    <row r="15" spans="1:9" x14ac:dyDescent="0.25">
      <c r="A15" s="248"/>
      <c r="B15" s="249"/>
      <c r="C15" s="69"/>
      <c r="D15" s="69"/>
      <c r="E15" s="69"/>
      <c r="F15" s="205"/>
      <c r="H15" s="94"/>
      <c r="I15" s="37" t="s">
        <v>115</v>
      </c>
    </row>
    <row r="16" spans="1:9" x14ac:dyDescent="0.25">
      <c r="A16" s="29" t="s">
        <v>38</v>
      </c>
      <c r="B16" s="30"/>
      <c r="C16" s="64"/>
      <c r="D16" s="64"/>
      <c r="E16" s="64"/>
      <c r="F16" s="64"/>
      <c r="G16" s="75"/>
      <c r="H16" s="81"/>
      <c r="I16" s="37"/>
    </row>
    <row r="17" spans="1:9" x14ac:dyDescent="0.25">
      <c r="A17" s="248" t="s">
        <v>39</v>
      </c>
      <c r="B17" s="249"/>
      <c r="C17" s="72">
        <f ca="1">RAND()</f>
        <v>0.60484397051212779</v>
      </c>
      <c r="D17" s="72">
        <f ca="1">RAND()</f>
        <v>6.1642680408750317E-2</v>
      </c>
      <c r="E17" s="72">
        <f ca="1">RAND()</f>
        <v>0.23410879167480725</v>
      </c>
      <c r="F17" s="65"/>
      <c r="H17" s="94"/>
      <c r="I17" s="37" t="s">
        <v>110</v>
      </c>
    </row>
    <row r="18" spans="1:9" x14ac:dyDescent="0.25">
      <c r="A18" s="248" t="s">
        <v>40</v>
      </c>
      <c r="B18" s="249"/>
      <c r="C18" s="65">
        <f>LN( (C8^2) /SQRT( (C8^2)+(C9^2) ) )</f>
        <v>18.154221161016057</v>
      </c>
      <c r="D18" s="65">
        <f>LN( (D8^2) /SQRT( (D8^2)+(D9^2) ) )</f>
        <v>18.154221161016057</v>
      </c>
      <c r="E18" s="65">
        <f>LN( (E8^2) /SQRT( (E8^2)+(E9^2) ) )</f>
        <v>18.154221161016057</v>
      </c>
      <c r="F18" s="65"/>
      <c r="H18" s="94"/>
      <c r="I18" s="37" t="s">
        <v>116</v>
      </c>
    </row>
    <row r="19" spans="1:9" x14ac:dyDescent="0.25">
      <c r="A19" s="248" t="s">
        <v>41</v>
      </c>
      <c r="B19" s="249"/>
      <c r="C19" s="66">
        <f>SQRT( LN( 1 + ( (C9^2) / (C8^2) ) ) )</f>
        <v>0.90226537837634835</v>
      </c>
      <c r="D19" s="66">
        <f>SQRT( LN( 1 + ( (D9^2) / (D8^2) ) ) )</f>
        <v>0.90226537837634835</v>
      </c>
      <c r="E19" s="66">
        <f>SQRT( LN( 1 + ( (E9^2) / (E8^2) ) ) )</f>
        <v>0.90226537837634835</v>
      </c>
      <c r="F19" s="66"/>
      <c r="H19" s="94"/>
      <c r="I19" s="37" t="s">
        <v>117</v>
      </c>
    </row>
    <row r="20" spans="1:9" x14ac:dyDescent="0.25">
      <c r="A20" s="250" t="s">
        <v>34</v>
      </c>
      <c r="B20" s="251"/>
      <c r="C20" s="297">
        <f ca="1">_xlfn.LOGNORM.INV(C17,C18,C19)</f>
        <v>97380681.377477065</v>
      </c>
      <c r="D20" s="297">
        <f ca="1">_xlfn.LOGNORM.INV(D17,D18,D19)</f>
        <v>19071653.887152676</v>
      </c>
      <c r="E20" s="297">
        <f ca="1">_xlfn.LOGNORM.INV(E17,E18,E19)</f>
        <v>39814188.675886348</v>
      </c>
      <c r="F20" s="67"/>
      <c r="G20" s="77"/>
      <c r="H20" s="95"/>
      <c r="I20" s="37" t="s">
        <v>118</v>
      </c>
    </row>
    <row r="21" spans="1:9" x14ac:dyDescent="0.25">
      <c r="A21" s="116"/>
      <c r="H21" s="94"/>
      <c r="I21" s="37"/>
    </row>
    <row r="22" spans="1:9" x14ac:dyDescent="0.25">
      <c r="A22" s="252" t="s">
        <v>46</v>
      </c>
      <c r="B22" s="75"/>
      <c r="C22" s="75"/>
      <c r="D22" s="75"/>
      <c r="E22" s="75"/>
      <c r="F22" s="75"/>
      <c r="G22" s="75"/>
      <c r="H22" s="81"/>
      <c r="I22" s="37"/>
    </row>
    <row r="23" spans="1:9" x14ac:dyDescent="0.25">
      <c r="A23" s="248" t="s">
        <v>42</v>
      </c>
      <c r="F23" s="76">
        <f>VLOOKUP(Data!$B$31,Data!$B$25:$E$28,3,FALSE)</f>
        <v>0</v>
      </c>
      <c r="G23" s="76">
        <f>VLOOKUP(Data!$B$31,Data!$B$25:$E$28,3,FALSE)</f>
        <v>0</v>
      </c>
      <c r="H23" s="82">
        <f>VLOOKUP(Data!$B$31,Data!$B$25:$E$28,3,FALSE)</f>
        <v>0</v>
      </c>
      <c r="I23" s="37" t="s">
        <v>119</v>
      </c>
    </row>
    <row r="24" spans="1:9" x14ac:dyDescent="0.25">
      <c r="A24" s="250" t="s">
        <v>37</v>
      </c>
      <c r="B24" s="77"/>
      <c r="C24" s="77"/>
      <c r="D24" s="77"/>
      <c r="E24" s="77"/>
      <c r="F24" s="78">
        <f>VLOOKUP(Data!$B$31,Data!$B$25:$E$28,4,FALSE)</f>
        <v>0</v>
      </c>
      <c r="G24" s="78">
        <f>VLOOKUP(Data!$B$31,Data!$B$25:$E$28,4,FALSE)</f>
        <v>0</v>
      </c>
      <c r="H24" s="84">
        <f>VLOOKUP(Data!$B$31,Data!$B$25:$E$28,4,FALSE)</f>
        <v>0</v>
      </c>
      <c r="I24" s="37" t="s">
        <v>120</v>
      </c>
    </row>
    <row r="25" spans="1:9" x14ac:dyDescent="0.25">
      <c r="A25" s="29" t="s">
        <v>97</v>
      </c>
      <c r="B25" s="75"/>
      <c r="C25" s="75"/>
      <c r="D25" s="75"/>
      <c r="E25" s="75"/>
      <c r="F25" s="75"/>
      <c r="G25" s="75"/>
      <c r="H25" s="81"/>
      <c r="I25" s="37"/>
    </row>
    <row r="26" spans="1:9" x14ac:dyDescent="0.25">
      <c r="A26" s="248" t="s">
        <v>98</v>
      </c>
      <c r="F26" s="79">
        <f ca="1">RAND()</f>
        <v>0.51328675413530356</v>
      </c>
      <c r="G26" s="79">
        <f ca="1">RAND()</f>
        <v>0.22673295291510664</v>
      </c>
      <c r="H26" s="206">
        <f ca="1">RAND()</f>
        <v>0.81670443144521443</v>
      </c>
      <c r="I26" s="37" t="s">
        <v>110</v>
      </c>
    </row>
    <row r="27" spans="1:9" x14ac:dyDescent="0.25">
      <c r="A27" s="250" t="s">
        <v>99</v>
      </c>
      <c r="B27" s="77"/>
      <c r="C27" s="77"/>
      <c r="D27" s="77"/>
      <c r="E27" s="77"/>
      <c r="F27" s="80">
        <f ca="1">F23+F26*(F24-F23)</f>
        <v>0</v>
      </c>
      <c r="G27" s="80">
        <f ca="1">G23+G26*(G24-G23)</f>
        <v>0</v>
      </c>
      <c r="H27" s="85">
        <f ca="1">H23+H26*(H24-H23)</f>
        <v>0</v>
      </c>
      <c r="I27" s="37" t="s">
        <v>121</v>
      </c>
    </row>
    <row r="28" spans="1:9" x14ac:dyDescent="0.25">
      <c r="A28" s="116"/>
      <c r="H28" s="94"/>
      <c r="I28" s="37"/>
    </row>
    <row r="29" spans="1:9" x14ac:dyDescent="0.25">
      <c r="A29" s="252" t="s">
        <v>46</v>
      </c>
      <c r="B29" s="75"/>
      <c r="C29" s="75"/>
      <c r="D29" s="75"/>
      <c r="E29" s="75"/>
      <c r="F29" s="75"/>
      <c r="G29" s="75"/>
      <c r="H29" s="81"/>
      <c r="I29" s="37"/>
    </row>
    <row r="30" spans="1:9" x14ac:dyDescent="0.25">
      <c r="A30" s="248" t="s">
        <v>42</v>
      </c>
      <c r="B30" s="200"/>
      <c r="C30" s="76">
        <f>INDEX(Data!$D$19:$D$22,MATCH(Data!$B$31,Data!$B$19:$B$22,0))</f>
        <v>0</v>
      </c>
      <c r="D30" s="76">
        <f>INDEX(Data!$D$19:$D$22,MATCH(Data!$B$31,Data!$B$19:$B$22,0))</f>
        <v>0</v>
      </c>
      <c r="E30" s="76">
        <f>INDEX(Data!$D$19:$D$22,MATCH(Data!$B$31,Data!$B$19:$B$22,0))</f>
        <v>0</v>
      </c>
      <c r="F30" s="200"/>
      <c r="H30" s="94"/>
      <c r="I30" s="37" t="s">
        <v>144</v>
      </c>
    </row>
    <row r="31" spans="1:9" x14ac:dyDescent="0.25">
      <c r="A31" s="250" t="s">
        <v>37</v>
      </c>
      <c r="B31" s="83"/>
      <c r="C31" s="78">
        <f>INDEX(Data!$E$19:$E$22,MATCH(Data!$B$31,Data!$B$19:$B$22,0))</f>
        <v>0</v>
      </c>
      <c r="D31" s="78">
        <f>INDEX(Data!$E$19:$E$22,MATCH(Data!$B$31,Data!$B$19:$B$22,0))</f>
        <v>0</v>
      </c>
      <c r="E31" s="78">
        <f>INDEX(Data!$E$19:$E$22,MATCH(Data!$B$31,Data!$B$19:$B$22,0))</f>
        <v>0</v>
      </c>
      <c r="F31" s="83"/>
      <c r="G31" s="77"/>
      <c r="H31" s="95"/>
      <c r="I31" s="37" t="s">
        <v>145</v>
      </c>
    </row>
    <row r="32" spans="1:9" x14ac:dyDescent="0.25">
      <c r="A32" s="29" t="s">
        <v>97</v>
      </c>
      <c r="B32" s="75"/>
      <c r="C32" s="75"/>
      <c r="D32" s="75"/>
      <c r="E32" s="75"/>
      <c r="F32" s="75"/>
      <c r="G32" s="75"/>
      <c r="H32" s="81"/>
      <c r="I32" s="37"/>
    </row>
    <row r="33" spans="1:9" x14ac:dyDescent="0.25">
      <c r="A33" s="248" t="s">
        <v>98</v>
      </c>
      <c r="C33" s="199">
        <f ca="1">RAND()</f>
        <v>0.79303955231405587</v>
      </c>
      <c r="D33" s="199">
        <f ca="1">RAND()</f>
        <v>0.66623739868581688</v>
      </c>
      <c r="E33" s="199">
        <f ca="1">RAND()</f>
        <v>0.91584650899920528</v>
      </c>
      <c r="H33" s="94"/>
      <c r="I33" s="37" t="s">
        <v>110</v>
      </c>
    </row>
    <row r="34" spans="1:9" x14ac:dyDescent="0.25">
      <c r="A34" s="250" t="s">
        <v>99</v>
      </c>
      <c r="B34" s="77"/>
      <c r="C34" s="80">
        <f ca="1">C30+C33*(C31-C30)</f>
        <v>0</v>
      </c>
      <c r="D34" s="80">
        <f ca="1">D30+D33*(D31-D30)</f>
        <v>0</v>
      </c>
      <c r="E34" s="80">
        <f ca="1">E30+E33*(E31-E30)</f>
        <v>0</v>
      </c>
      <c r="F34" s="77"/>
      <c r="G34" s="77"/>
      <c r="H34" s="95"/>
      <c r="I34" s="37" t="s">
        <v>122</v>
      </c>
    </row>
    <row r="35" spans="1:9" x14ac:dyDescent="0.25">
      <c r="I35" s="37"/>
    </row>
    <row r="36" spans="1:9" x14ac:dyDescent="0.25">
      <c r="A36" s="191" t="s">
        <v>154</v>
      </c>
      <c r="B36" s="191" t="s">
        <v>102</v>
      </c>
      <c r="C36" s="191" t="s">
        <v>167</v>
      </c>
      <c r="D36" s="191" t="s">
        <v>168</v>
      </c>
      <c r="I36" s="37"/>
    </row>
    <row r="37" spans="1:9" x14ac:dyDescent="0.25">
      <c r="A37" s="191"/>
      <c r="B37" s="190">
        <f ca="1">DCF!B26</f>
        <v>143392285.94303793</v>
      </c>
      <c r="C37" s="191"/>
      <c r="D37" s="191"/>
      <c r="I37" s="38" t="s">
        <v>107</v>
      </c>
    </row>
    <row r="38" spans="1:9" x14ac:dyDescent="0.25">
      <c r="A38" s="191">
        <v>1</v>
      </c>
      <c r="B38" s="192">
        <f t="dataTable" ref="B38:B137" dt2D="0" dtr="0" r1="A37" ca="1"/>
        <v>143392285.94303793</v>
      </c>
      <c r="C38" s="189">
        <v>152828937.91450351</v>
      </c>
      <c r="D38" s="87">
        <v>216120913.83347282</v>
      </c>
      <c r="I38" s="5"/>
    </row>
    <row r="39" spans="1:9" x14ac:dyDescent="0.25">
      <c r="A39" s="191">
        <v>2</v>
      </c>
      <c r="B39" s="192">
        <v>143392285.94303793</v>
      </c>
      <c r="C39" s="189">
        <v>161655707.85289389</v>
      </c>
      <c r="D39" s="87">
        <v>189354428.18814319</v>
      </c>
      <c r="I39" s="5"/>
    </row>
    <row r="40" spans="1:9" x14ac:dyDescent="0.25">
      <c r="A40" s="191">
        <v>3</v>
      </c>
      <c r="B40" s="192">
        <v>143392285.94303793</v>
      </c>
      <c r="C40" s="189">
        <v>155961635.51578388</v>
      </c>
      <c r="D40" s="87">
        <v>59388159.647653461</v>
      </c>
      <c r="I40" s="5"/>
    </row>
    <row r="41" spans="1:9" x14ac:dyDescent="0.25">
      <c r="A41" s="191">
        <v>4</v>
      </c>
      <c r="B41" s="192">
        <v>143392285.94303793</v>
      </c>
      <c r="C41" s="189">
        <v>162204326.64795345</v>
      </c>
      <c r="D41" s="87">
        <v>84835836.034481317</v>
      </c>
      <c r="I41" s="5"/>
    </row>
    <row r="42" spans="1:9" x14ac:dyDescent="0.25">
      <c r="A42" s="191">
        <v>5</v>
      </c>
      <c r="B42" s="192">
        <v>143392285.94303793</v>
      </c>
      <c r="C42" s="189">
        <v>153204475.38045767</v>
      </c>
      <c r="D42" s="87">
        <v>120485653.18088171</v>
      </c>
      <c r="I42" s="5"/>
    </row>
    <row r="43" spans="1:9" x14ac:dyDescent="0.25">
      <c r="A43" s="191">
        <v>6</v>
      </c>
      <c r="B43" s="192">
        <v>143392285.94303793</v>
      </c>
      <c r="C43" s="189">
        <v>169186336.58179089</v>
      </c>
      <c r="D43" s="87">
        <v>178633518.50857455</v>
      </c>
      <c r="I43" s="5"/>
    </row>
    <row r="44" spans="1:9" x14ac:dyDescent="0.25">
      <c r="A44" s="191">
        <v>7</v>
      </c>
      <c r="B44" s="192">
        <v>143392285.94303793</v>
      </c>
      <c r="C44" s="189">
        <v>180555854.83085027</v>
      </c>
      <c r="D44" s="87">
        <v>172149245.14171374</v>
      </c>
      <c r="I44" s="5"/>
    </row>
    <row r="45" spans="1:9" x14ac:dyDescent="0.25">
      <c r="A45" s="191">
        <v>8</v>
      </c>
      <c r="B45" s="192">
        <v>143392285.94303793</v>
      </c>
      <c r="C45" s="189">
        <v>163748814.2556594</v>
      </c>
      <c r="D45" s="87">
        <v>137950845.04473633</v>
      </c>
      <c r="I45" s="5"/>
    </row>
    <row r="46" spans="1:9" x14ac:dyDescent="0.25">
      <c r="A46" s="191">
        <v>9</v>
      </c>
      <c r="B46" s="192">
        <v>143392285.94303793</v>
      </c>
      <c r="C46" s="189">
        <v>140948196.16042429</v>
      </c>
      <c r="D46" s="87">
        <v>93451025.472021699</v>
      </c>
      <c r="I46" s="5"/>
    </row>
    <row r="47" spans="1:9" x14ac:dyDescent="0.25">
      <c r="A47" s="191">
        <v>10</v>
      </c>
      <c r="B47" s="192">
        <v>143392285.94303793</v>
      </c>
      <c r="C47" s="189">
        <v>145306618.69594467</v>
      </c>
      <c r="D47" s="87">
        <v>201246700.72346598</v>
      </c>
      <c r="I47" s="5"/>
    </row>
    <row r="48" spans="1:9" x14ac:dyDescent="0.25">
      <c r="A48" s="191">
        <v>11</v>
      </c>
      <c r="B48" s="192">
        <v>143392285.94303793</v>
      </c>
      <c r="C48" s="189">
        <v>138803663.1571303</v>
      </c>
      <c r="D48" s="87">
        <v>116076189.8846944</v>
      </c>
      <c r="I48" s="5"/>
    </row>
    <row r="49" spans="1:9" x14ac:dyDescent="0.25">
      <c r="A49" s="191">
        <v>12</v>
      </c>
      <c r="B49" s="192">
        <v>143392285.94303793</v>
      </c>
      <c r="C49" s="189">
        <v>158215715.14217949</v>
      </c>
      <c r="D49" s="87">
        <v>214811717.16965711</v>
      </c>
      <c r="I49" s="5"/>
    </row>
    <row r="50" spans="1:9" x14ac:dyDescent="0.25">
      <c r="A50" s="191">
        <v>13</v>
      </c>
      <c r="B50" s="192">
        <v>143392285.94303793</v>
      </c>
      <c r="C50" s="189">
        <v>169540886.07762593</v>
      </c>
      <c r="D50" s="87">
        <v>16162692.677962601</v>
      </c>
      <c r="I50" s="5"/>
    </row>
    <row r="51" spans="1:9" x14ac:dyDescent="0.25">
      <c r="A51" s="191">
        <v>14</v>
      </c>
      <c r="B51" s="192">
        <v>143392285.94303793</v>
      </c>
      <c r="C51" s="189">
        <v>137704205.04436687</v>
      </c>
      <c r="D51" s="87">
        <v>33030081.371419802</v>
      </c>
      <c r="I51" s="5"/>
    </row>
    <row r="52" spans="1:9" x14ac:dyDescent="0.25">
      <c r="A52" s="191">
        <v>15</v>
      </c>
      <c r="B52" s="192">
        <v>143392285.94303793</v>
      </c>
      <c r="C52" s="189">
        <v>152798948.60056117</v>
      </c>
      <c r="D52" s="87">
        <v>69066717.35997583</v>
      </c>
      <c r="I52" s="5"/>
    </row>
    <row r="53" spans="1:9" x14ac:dyDescent="0.25">
      <c r="A53" s="191">
        <v>16</v>
      </c>
      <c r="B53" s="192">
        <v>143392285.94303793</v>
      </c>
      <c r="C53" s="189">
        <v>141597335.51714176</v>
      </c>
      <c r="D53" s="87">
        <v>153846003.67176992</v>
      </c>
      <c r="I53" s="5"/>
    </row>
    <row r="54" spans="1:9" x14ac:dyDescent="0.25">
      <c r="A54" s="191">
        <v>17</v>
      </c>
      <c r="B54" s="192">
        <v>143392285.94303793</v>
      </c>
      <c r="C54" s="189">
        <v>159937487.92932796</v>
      </c>
      <c r="D54" s="87">
        <v>121156130.55978724</v>
      </c>
      <c r="I54" s="5"/>
    </row>
    <row r="55" spans="1:9" x14ac:dyDescent="0.25">
      <c r="A55" s="191">
        <v>18</v>
      </c>
      <c r="B55" s="192">
        <v>143392285.94303793</v>
      </c>
      <c r="C55" s="189">
        <v>161277472.80447254</v>
      </c>
      <c r="D55" s="87">
        <v>175665031.34803626</v>
      </c>
      <c r="I55" s="5"/>
    </row>
    <row r="56" spans="1:9" x14ac:dyDescent="0.25">
      <c r="A56" s="191">
        <v>19</v>
      </c>
      <c r="B56" s="192">
        <v>143392285.94303793</v>
      </c>
      <c r="C56" s="189">
        <v>137296372.4600291</v>
      </c>
      <c r="D56" s="87">
        <v>83018224.741992101</v>
      </c>
      <c r="I56" s="5"/>
    </row>
    <row r="57" spans="1:9" x14ac:dyDescent="0.25">
      <c r="A57" s="191">
        <v>20</v>
      </c>
      <c r="B57" s="192">
        <v>143392285.94303793</v>
      </c>
      <c r="C57" s="189">
        <v>151605714.56157005</v>
      </c>
      <c r="D57" s="87">
        <v>121275319.0822241</v>
      </c>
      <c r="I57" s="5"/>
    </row>
    <row r="58" spans="1:9" x14ac:dyDescent="0.25">
      <c r="A58" s="191">
        <v>21</v>
      </c>
      <c r="B58" s="192">
        <v>143392285.94303793</v>
      </c>
      <c r="C58" s="189">
        <v>150847755.38279298</v>
      </c>
      <c r="D58" s="87">
        <v>187091045.53256285</v>
      </c>
      <c r="I58" s="5"/>
    </row>
    <row r="59" spans="1:9" x14ac:dyDescent="0.25">
      <c r="A59" s="191">
        <v>22</v>
      </c>
      <c r="B59" s="192">
        <v>143392285.94303793</v>
      </c>
      <c r="C59" s="189">
        <v>158042004.74661911</v>
      </c>
      <c r="D59" s="87">
        <v>119709988.94579709</v>
      </c>
      <c r="I59" s="5"/>
    </row>
    <row r="60" spans="1:9" x14ac:dyDescent="0.25">
      <c r="A60" s="191">
        <v>23</v>
      </c>
      <c r="B60" s="192">
        <v>143392285.94303793</v>
      </c>
      <c r="C60" s="189">
        <v>155542509.24957222</v>
      </c>
      <c r="D60" s="87">
        <v>137831631.0171456</v>
      </c>
      <c r="I60" s="5"/>
    </row>
    <row r="61" spans="1:9" x14ac:dyDescent="0.25">
      <c r="A61" s="191">
        <v>24</v>
      </c>
      <c r="B61" s="192">
        <v>143392285.94303793</v>
      </c>
      <c r="C61" s="189">
        <v>147094429.80605674</v>
      </c>
      <c r="D61" s="87">
        <v>121198454.5315129</v>
      </c>
      <c r="I61" s="5"/>
    </row>
    <row r="62" spans="1:9" x14ac:dyDescent="0.25">
      <c r="A62" s="191">
        <v>25</v>
      </c>
      <c r="B62" s="192">
        <v>143392285.94303793</v>
      </c>
      <c r="C62" s="189">
        <v>159181305.78902322</v>
      </c>
      <c r="D62" s="87">
        <v>159940077.47820011</v>
      </c>
      <c r="I62" s="5"/>
    </row>
    <row r="63" spans="1:9" x14ac:dyDescent="0.25">
      <c r="A63" s="191">
        <v>26</v>
      </c>
      <c r="B63" s="192">
        <v>143392285.94303793</v>
      </c>
      <c r="C63" s="189">
        <v>168901387.10957152</v>
      </c>
      <c r="D63" s="87">
        <v>165181126.04901478</v>
      </c>
      <c r="I63" s="5"/>
    </row>
    <row r="64" spans="1:9" x14ac:dyDescent="0.25">
      <c r="A64" s="191">
        <v>27</v>
      </c>
      <c r="B64" s="192">
        <v>143392285.94303793</v>
      </c>
      <c r="C64" s="189">
        <v>163953510.75075573</v>
      </c>
      <c r="D64" s="87">
        <v>193460529.67491147</v>
      </c>
      <c r="I64" s="5"/>
    </row>
    <row r="65" spans="1:9" x14ac:dyDescent="0.25">
      <c r="A65" s="191">
        <v>28</v>
      </c>
      <c r="B65" s="192">
        <v>143392285.94303793</v>
      </c>
      <c r="C65" s="189">
        <v>172402898.85959202</v>
      </c>
      <c r="D65" s="87">
        <v>143236498.26751828</v>
      </c>
      <c r="I65" s="5"/>
    </row>
    <row r="66" spans="1:9" x14ac:dyDescent="0.25">
      <c r="A66" s="191">
        <v>29</v>
      </c>
      <c r="B66" s="192">
        <v>143392285.94303793</v>
      </c>
      <c r="C66" s="189">
        <v>153497540.63728091</v>
      </c>
      <c r="D66" s="87">
        <v>108277743.32785328</v>
      </c>
      <c r="I66" s="5"/>
    </row>
    <row r="67" spans="1:9" x14ac:dyDescent="0.25">
      <c r="A67" s="191">
        <v>30</v>
      </c>
      <c r="B67" s="192">
        <v>143392285.94303793</v>
      </c>
      <c r="C67" s="189">
        <v>154989137.36624938</v>
      </c>
      <c r="D67" s="87">
        <v>132779587.03947459</v>
      </c>
      <c r="I67" s="5"/>
    </row>
    <row r="68" spans="1:9" x14ac:dyDescent="0.25">
      <c r="A68" s="191">
        <v>31</v>
      </c>
      <c r="B68" s="192">
        <v>143392285.94303793</v>
      </c>
      <c r="C68" s="189">
        <v>162361783.69262373</v>
      </c>
      <c r="D68" s="87">
        <v>152992655.71408784</v>
      </c>
      <c r="I68" s="5"/>
    </row>
    <row r="69" spans="1:9" x14ac:dyDescent="0.25">
      <c r="A69" s="191">
        <v>32</v>
      </c>
      <c r="B69" s="192">
        <v>143392285.94303793</v>
      </c>
      <c r="C69" s="189">
        <v>137313009.48980212</v>
      </c>
      <c r="D69" s="87">
        <v>178662164.72364357</v>
      </c>
      <c r="I69" s="5"/>
    </row>
    <row r="70" spans="1:9" x14ac:dyDescent="0.25">
      <c r="A70" s="191">
        <v>33</v>
      </c>
      <c r="B70" s="192">
        <v>143392285.94303793</v>
      </c>
      <c r="C70" s="189">
        <v>156944512.40207118</v>
      </c>
      <c r="D70" s="87">
        <v>6462790.554395631</v>
      </c>
      <c r="I70" s="5"/>
    </row>
    <row r="71" spans="1:9" x14ac:dyDescent="0.25">
      <c r="A71" s="191">
        <v>34</v>
      </c>
      <c r="B71" s="192">
        <v>143392285.94303793</v>
      </c>
      <c r="C71" s="189">
        <v>158641658.0137327</v>
      </c>
      <c r="D71" s="87">
        <v>151408044.92299056</v>
      </c>
      <c r="I71" s="5"/>
    </row>
    <row r="72" spans="1:9" x14ac:dyDescent="0.25">
      <c r="A72" s="191">
        <v>35</v>
      </c>
      <c r="B72" s="192">
        <v>143392285.94303793</v>
      </c>
      <c r="C72" s="189">
        <v>162198950.80434972</v>
      </c>
      <c r="D72" s="87">
        <v>136825633.75314856</v>
      </c>
      <c r="I72" s="5"/>
    </row>
    <row r="73" spans="1:9" x14ac:dyDescent="0.25">
      <c r="A73" s="191">
        <v>36</v>
      </c>
      <c r="B73" s="192">
        <v>143392285.94303793</v>
      </c>
      <c r="C73" s="189">
        <v>166926937.14545399</v>
      </c>
      <c r="D73" s="87">
        <v>89031103.179507121</v>
      </c>
      <c r="I73" s="5"/>
    </row>
    <row r="74" spans="1:9" x14ac:dyDescent="0.25">
      <c r="A74" s="191">
        <v>37</v>
      </c>
      <c r="B74" s="192">
        <v>143392285.94303793</v>
      </c>
      <c r="C74" s="189">
        <v>171226928.10801712</v>
      </c>
      <c r="D74" s="87">
        <v>146396428.72116715</v>
      </c>
      <c r="I74" s="5"/>
    </row>
    <row r="75" spans="1:9" x14ac:dyDescent="0.25">
      <c r="A75" s="191">
        <v>38</v>
      </c>
      <c r="B75" s="192">
        <v>143392285.94303793</v>
      </c>
      <c r="C75" s="189">
        <v>154040094.98305044</v>
      </c>
      <c r="D75" s="87">
        <v>83813633.646915704</v>
      </c>
      <c r="I75" s="5"/>
    </row>
    <row r="76" spans="1:9" x14ac:dyDescent="0.25">
      <c r="A76" s="191">
        <v>39</v>
      </c>
      <c r="B76" s="192">
        <v>143392285.94303793</v>
      </c>
      <c r="C76" s="189">
        <v>159237176.51977581</v>
      </c>
      <c r="D76" s="87">
        <v>142607373.87093303</v>
      </c>
      <c r="I76" s="5"/>
    </row>
    <row r="77" spans="1:9" x14ac:dyDescent="0.25">
      <c r="A77" s="191">
        <v>40</v>
      </c>
      <c r="B77" s="192">
        <v>143392285.94303793</v>
      </c>
      <c r="C77" s="189">
        <v>147103339.47376266</v>
      </c>
      <c r="D77" s="87">
        <v>186688558.88156456</v>
      </c>
      <c r="I77" s="5"/>
    </row>
    <row r="78" spans="1:9" x14ac:dyDescent="0.25">
      <c r="A78" s="191">
        <v>41</v>
      </c>
      <c r="B78" s="192">
        <v>143392285.94303793</v>
      </c>
      <c r="C78" s="189">
        <v>169700452.47114986</v>
      </c>
      <c r="D78" s="87">
        <v>84417842.974909604</v>
      </c>
      <c r="I78" s="5"/>
    </row>
    <row r="79" spans="1:9" x14ac:dyDescent="0.25">
      <c r="A79" s="191">
        <v>42</v>
      </c>
      <c r="B79" s="192">
        <v>143392285.94303793</v>
      </c>
      <c r="C79" s="189">
        <v>152541227.94421816</v>
      </c>
      <c r="D79" s="87">
        <v>163075066.52234364</v>
      </c>
      <c r="I79" s="5"/>
    </row>
    <row r="80" spans="1:9" x14ac:dyDescent="0.25">
      <c r="A80" s="191">
        <v>43</v>
      </c>
      <c r="B80" s="192">
        <v>143392285.94303793</v>
      </c>
      <c r="C80" s="189">
        <v>167531598.3801935</v>
      </c>
      <c r="D80" s="87">
        <v>35989991.998486921</v>
      </c>
      <c r="I80" s="5"/>
    </row>
    <row r="81" spans="1:9" x14ac:dyDescent="0.25">
      <c r="A81" s="191">
        <v>44</v>
      </c>
      <c r="B81" s="192">
        <v>143392285.94303793</v>
      </c>
      <c r="C81" s="189">
        <v>175946438.29788995</v>
      </c>
      <c r="D81" s="87">
        <v>134004498.81977759</v>
      </c>
      <c r="I81" s="5"/>
    </row>
    <row r="82" spans="1:9" x14ac:dyDescent="0.25">
      <c r="A82" s="191">
        <v>45</v>
      </c>
      <c r="B82" s="192">
        <v>143392285.94303793</v>
      </c>
      <c r="C82" s="189">
        <v>150009602.75704658</v>
      </c>
      <c r="D82" s="87">
        <v>21009605.436248273</v>
      </c>
      <c r="I82" s="5"/>
    </row>
    <row r="83" spans="1:9" x14ac:dyDescent="0.25">
      <c r="A83" s="191">
        <v>46</v>
      </c>
      <c r="B83" s="192">
        <v>143392285.94303793</v>
      </c>
      <c r="C83" s="189">
        <v>160582784.10732916</v>
      </c>
      <c r="D83" s="87">
        <v>201048895.96588427</v>
      </c>
      <c r="I83" s="5"/>
    </row>
    <row r="84" spans="1:9" x14ac:dyDescent="0.25">
      <c r="A84" s="191">
        <v>47</v>
      </c>
      <c r="B84" s="192">
        <v>143392285.94303793</v>
      </c>
      <c r="C84" s="189">
        <v>152061074.41562271</v>
      </c>
      <c r="D84" s="87">
        <v>147391094.63946664</v>
      </c>
      <c r="I84" s="5"/>
    </row>
    <row r="85" spans="1:9" x14ac:dyDescent="0.25">
      <c r="A85" s="191">
        <v>48</v>
      </c>
      <c r="B85" s="192">
        <v>143392285.94303793</v>
      </c>
      <c r="C85" s="189">
        <v>164229494.31426483</v>
      </c>
      <c r="D85" s="87">
        <v>121040979.17723931</v>
      </c>
      <c r="I85" s="5"/>
    </row>
    <row r="86" spans="1:9" x14ac:dyDescent="0.25">
      <c r="A86" s="191">
        <v>49</v>
      </c>
      <c r="B86" s="192">
        <v>143392285.94303793</v>
      </c>
      <c r="C86" s="189">
        <v>150782563.38636467</v>
      </c>
      <c r="D86" s="87">
        <v>201031127.22139901</v>
      </c>
      <c r="I86" s="5"/>
    </row>
    <row r="87" spans="1:9" x14ac:dyDescent="0.25">
      <c r="A87" s="191">
        <v>50</v>
      </c>
      <c r="B87" s="192">
        <v>143392285.94303793</v>
      </c>
      <c r="C87" s="189">
        <v>149221700.18940341</v>
      </c>
      <c r="D87" s="87">
        <v>86770310.989800498</v>
      </c>
      <c r="I87" s="5"/>
    </row>
    <row r="88" spans="1:9" x14ac:dyDescent="0.25">
      <c r="A88" s="191">
        <v>51</v>
      </c>
      <c r="B88" s="192">
        <v>143392285.94303793</v>
      </c>
      <c r="C88" s="189">
        <v>175484499.52861637</v>
      </c>
      <c r="D88" s="87">
        <v>86827479.155490905</v>
      </c>
      <c r="I88" s="5"/>
    </row>
    <row r="89" spans="1:9" x14ac:dyDescent="0.25">
      <c r="A89" s="191">
        <v>52</v>
      </c>
      <c r="B89" s="192">
        <v>143392285.94303793</v>
      </c>
      <c r="C89" s="189">
        <v>173038183.762169</v>
      </c>
      <c r="D89" s="87">
        <v>151268592.45303708</v>
      </c>
      <c r="I89" s="5"/>
    </row>
    <row r="90" spans="1:9" x14ac:dyDescent="0.25">
      <c r="A90" s="191">
        <v>53</v>
      </c>
      <c r="B90" s="192">
        <v>143392285.94303793</v>
      </c>
      <c r="C90" s="189">
        <v>174303843.02567336</v>
      </c>
      <c r="D90" s="87">
        <v>130167527.09246859</v>
      </c>
      <c r="I90" s="5"/>
    </row>
    <row r="91" spans="1:9" x14ac:dyDescent="0.25">
      <c r="A91" s="191">
        <v>54</v>
      </c>
      <c r="B91" s="192">
        <v>143392285.94303793</v>
      </c>
      <c r="C91" s="189">
        <v>148990164.01300442</v>
      </c>
      <c r="D91" s="87">
        <v>103189577.24028191</v>
      </c>
      <c r="I91" s="5"/>
    </row>
    <row r="92" spans="1:9" x14ac:dyDescent="0.25">
      <c r="A92" s="191">
        <v>55</v>
      </c>
      <c r="B92" s="192">
        <v>143392285.94303793</v>
      </c>
      <c r="C92" s="189">
        <v>154494430.02802655</v>
      </c>
      <c r="D92" s="87">
        <v>75907734.926957697</v>
      </c>
      <c r="I92" s="5"/>
    </row>
    <row r="93" spans="1:9" x14ac:dyDescent="0.25">
      <c r="A93" s="191">
        <v>56</v>
      </c>
      <c r="B93" s="192">
        <v>143392285.94303793</v>
      </c>
      <c r="C93" s="189">
        <v>189862524.27430731</v>
      </c>
      <c r="D93" s="87">
        <v>169107325.4425993</v>
      </c>
      <c r="I93" s="5"/>
    </row>
    <row r="94" spans="1:9" x14ac:dyDescent="0.25">
      <c r="A94" s="191">
        <v>57</v>
      </c>
      <c r="B94" s="192">
        <v>143392285.94303793</v>
      </c>
      <c r="C94" s="189">
        <v>162642216.34472901</v>
      </c>
      <c r="D94" s="87">
        <v>214256005.98146075</v>
      </c>
      <c r="I94" s="5"/>
    </row>
    <row r="95" spans="1:9" x14ac:dyDescent="0.25">
      <c r="A95" s="191">
        <v>58</v>
      </c>
      <c r="B95" s="192">
        <v>143392285.94303793</v>
      </c>
      <c r="C95" s="189">
        <v>158794504.35843974</v>
      </c>
      <c r="D95" s="87">
        <v>183282365.2288942</v>
      </c>
      <c r="I95" s="5"/>
    </row>
    <row r="96" spans="1:9" x14ac:dyDescent="0.25">
      <c r="A96" s="191">
        <v>59</v>
      </c>
      <c r="B96" s="192">
        <v>143392285.94303793</v>
      </c>
      <c r="C96" s="189">
        <v>161156085.9852953</v>
      </c>
      <c r="D96" s="87">
        <v>165345620.33485663</v>
      </c>
      <c r="I96" s="5"/>
    </row>
    <row r="97" spans="1:9" x14ac:dyDescent="0.25">
      <c r="A97" s="191">
        <v>60</v>
      </c>
      <c r="B97" s="192">
        <v>143392285.94303793</v>
      </c>
      <c r="C97" s="189">
        <v>156028640.18759179</v>
      </c>
      <c r="D97" s="87">
        <v>179936936.87577415</v>
      </c>
      <c r="I97" s="5"/>
    </row>
    <row r="98" spans="1:9" x14ac:dyDescent="0.25">
      <c r="A98" s="191">
        <v>61</v>
      </c>
      <c r="B98" s="192">
        <v>143392285.94303793</v>
      </c>
      <c r="C98" s="189">
        <v>155381596.79932034</v>
      </c>
      <c r="D98" s="87">
        <v>84144169.343121633</v>
      </c>
      <c r="I98" s="5"/>
    </row>
    <row r="99" spans="1:9" x14ac:dyDescent="0.25">
      <c r="A99" s="191">
        <v>62</v>
      </c>
      <c r="B99" s="192">
        <v>143392285.94303793</v>
      </c>
      <c r="C99" s="189">
        <v>171006500.80534756</v>
      </c>
      <c r="D99" s="87">
        <v>38607171.862798303</v>
      </c>
      <c r="I99" s="5"/>
    </row>
    <row r="100" spans="1:9" x14ac:dyDescent="0.25">
      <c r="A100" s="191">
        <v>63</v>
      </c>
      <c r="B100" s="192">
        <v>143392285.94303793</v>
      </c>
      <c r="C100" s="189">
        <v>166781917.470375</v>
      </c>
      <c r="D100" s="87">
        <v>107336481.37108828</v>
      </c>
      <c r="I100" s="5"/>
    </row>
    <row r="101" spans="1:9" x14ac:dyDescent="0.25">
      <c r="A101" s="191">
        <v>64</v>
      </c>
      <c r="B101" s="192">
        <v>143392285.94303793</v>
      </c>
      <c r="C101" s="189">
        <v>136147498.09453243</v>
      </c>
      <c r="D101" s="87">
        <v>71752331.954163373</v>
      </c>
      <c r="I101" s="5"/>
    </row>
    <row r="102" spans="1:9" x14ac:dyDescent="0.25">
      <c r="A102" s="191">
        <v>65</v>
      </c>
      <c r="B102" s="192">
        <v>143392285.94303793</v>
      </c>
      <c r="C102" s="189">
        <v>160140941.1556266</v>
      </c>
      <c r="D102" s="87">
        <v>181844492.01595175</v>
      </c>
      <c r="I102" s="5"/>
    </row>
    <row r="103" spans="1:9" x14ac:dyDescent="0.25">
      <c r="A103" s="191">
        <v>66</v>
      </c>
      <c r="B103" s="192">
        <v>143392285.94303793</v>
      </c>
      <c r="C103" s="189">
        <v>150916246.94353428</v>
      </c>
      <c r="D103" s="87">
        <v>146433519.94580203</v>
      </c>
      <c r="I103" s="5"/>
    </row>
    <row r="104" spans="1:9" x14ac:dyDescent="0.25">
      <c r="A104" s="191">
        <v>67</v>
      </c>
      <c r="B104" s="192">
        <v>143392285.94303793</v>
      </c>
      <c r="C104" s="189">
        <v>145159184.18006939</v>
      </c>
      <c r="D104" s="87">
        <v>141317656.32984331</v>
      </c>
      <c r="I104" s="5"/>
    </row>
    <row r="105" spans="1:9" x14ac:dyDescent="0.25">
      <c r="A105" s="191">
        <v>68</v>
      </c>
      <c r="B105" s="192">
        <v>143392285.94303793</v>
      </c>
      <c r="C105" s="189">
        <v>152103567.00782478</v>
      </c>
      <c r="D105" s="87">
        <v>168202080.46421188</v>
      </c>
      <c r="I105" s="5"/>
    </row>
    <row r="106" spans="1:9" x14ac:dyDescent="0.25">
      <c r="A106" s="191">
        <v>69</v>
      </c>
      <c r="B106" s="192">
        <v>143392285.94303793</v>
      </c>
      <c r="C106" s="189">
        <v>152789503.24662715</v>
      </c>
      <c r="D106" s="87">
        <v>187644370.28883338</v>
      </c>
      <c r="I106" s="5"/>
    </row>
    <row r="107" spans="1:9" x14ac:dyDescent="0.25">
      <c r="A107" s="191">
        <v>70</v>
      </c>
      <c r="B107" s="192">
        <v>143392285.94303793</v>
      </c>
      <c r="C107" s="189">
        <v>173771526.51138937</v>
      </c>
      <c r="D107" s="87">
        <v>135060309.93838686</v>
      </c>
      <c r="I107" s="5"/>
    </row>
    <row r="108" spans="1:9" x14ac:dyDescent="0.25">
      <c r="A108" s="191">
        <v>71</v>
      </c>
      <c r="B108" s="192">
        <v>143392285.94303793</v>
      </c>
      <c r="C108" s="189">
        <v>165017137.01897836</v>
      </c>
      <c r="D108" s="87">
        <v>112985754.64778724</v>
      </c>
      <c r="I108" s="5"/>
    </row>
    <row r="109" spans="1:9" x14ac:dyDescent="0.25">
      <c r="A109" s="191">
        <v>72</v>
      </c>
      <c r="B109" s="192">
        <v>143392285.94303793</v>
      </c>
      <c r="C109" s="189">
        <v>177732853.92023784</v>
      </c>
      <c r="D109" s="87">
        <v>229902878.8114354</v>
      </c>
      <c r="I109" s="5"/>
    </row>
    <row r="110" spans="1:9" x14ac:dyDescent="0.25">
      <c r="A110" s="191">
        <v>73</v>
      </c>
      <c r="B110" s="192">
        <v>143392285.94303793</v>
      </c>
      <c r="C110" s="189">
        <v>141170148.41657072</v>
      </c>
      <c r="D110" s="87">
        <v>105248388.86039905</v>
      </c>
      <c r="I110" s="5"/>
    </row>
    <row r="111" spans="1:9" x14ac:dyDescent="0.25">
      <c r="A111" s="191">
        <v>74</v>
      </c>
      <c r="B111" s="192">
        <v>143392285.94303793</v>
      </c>
      <c r="C111" s="189">
        <v>154347506.85828033</v>
      </c>
      <c r="D111" s="87">
        <v>100154128.80910484</v>
      </c>
      <c r="I111" s="5"/>
    </row>
    <row r="112" spans="1:9" x14ac:dyDescent="0.25">
      <c r="A112" s="191">
        <v>75</v>
      </c>
      <c r="B112" s="192">
        <v>143392285.94303793</v>
      </c>
      <c r="C112" s="189">
        <v>133086022.65060356</v>
      </c>
      <c r="D112" s="87">
        <v>155504227.48030558</v>
      </c>
      <c r="I112" s="5"/>
    </row>
    <row r="113" spans="1:9" x14ac:dyDescent="0.25">
      <c r="A113" s="191">
        <v>76</v>
      </c>
      <c r="B113" s="192">
        <v>143392285.94303793</v>
      </c>
      <c r="C113" s="189">
        <v>157417633.88403851</v>
      </c>
      <c r="D113" s="87">
        <v>79709474.068217263</v>
      </c>
      <c r="I113" s="5"/>
    </row>
    <row r="114" spans="1:9" x14ac:dyDescent="0.25">
      <c r="A114" s="191">
        <v>77</v>
      </c>
      <c r="B114" s="192">
        <v>143392285.94303793</v>
      </c>
      <c r="C114" s="189">
        <v>164542160.83718181</v>
      </c>
      <c r="D114" s="87">
        <v>162512939.39382958</v>
      </c>
      <c r="I114" s="5"/>
    </row>
    <row r="115" spans="1:9" x14ac:dyDescent="0.25">
      <c r="A115" s="191">
        <v>78</v>
      </c>
      <c r="B115" s="192">
        <v>143392285.94303793</v>
      </c>
      <c r="C115" s="189">
        <v>151339303.32425803</v>
      </c>
      <c r="D115" s="87">
        <v>117559913.77497561</v>
      </c>
      <c r="I115" s="5"/>
    </row>
    <row r="116" spans="1:9" x14ac:dyDescent="0.25">
      <c r="A116" s="191">
        <v>79</v>
      </c>
      <c r="B116" s="192">
        <v>143392285.94303793</v>
      </c>
      <c r="C116" s="189">
        <v>179407347.24304974</v>
      </c>
      <c r="D116" s="87">
        <v>54779575.640764058</v>
      </c>
      <c r="I116" s="5"/>
    </row>
    <row r="117" spans="1:9" x14ac:dyDescent="0.25">
      <c r="A117" s="191">
        <v>80</v>
      </c>
      <c r="B117" s="192">
        <v>143392285.94303793</v>
      </c>
      <c r="C117" s="189">
        <v>148333461.75709373</v>
      </c>
      <c r="D117" s="87">
        <v>139239113.05391604</v>
      </c>
      <c r="I117" s="5"/>
    </row>
    <row r="118" spans="1:9" x14ac:dyDescent="0.25">
      <c r="A118" s="191">
        <v>81</v>
      </c>
      <c r="B118" s="192">
        <v>143392285.94303793</v>
      </c>
      <c r="C118" s="189">
        <v>137545856.39592069</v>
      </c>
      <c r="D118" s="87">
        <v>63914278.466769651</v>
      </c>
      <c r="I118" s="5"/>
    </row>
    <row r="119" spans="1:9" x14ac:dyDescent="0.25">
      <c r="A119" s="191">
        <v>82</v>
      </c>
      <c r="B119" s="192">
        <v>143392285.94303793</v>
      </c>
      <c r="C119" s="189">
        <v>155778342.18691659</v>
      </c>
      <c r="D119" s="87">
        <v>176439689.25537747</v>
      </c>
      <c r="I119" s="5"/>
    </row>
    <row r="120" spans="1:9" x14ac:dyDescent="0.25">
      <c r="A120" s="191">
        <v>83</v>
      </c>
      <c r="B120" s="192">
        <v>143392285.94303793</v>
      </c>
      <c r="C120" s="189">
        <v>156266083.17967167</v>
      </c>
      <c r="D120" s="87">
        <v>114833509.76430987</v>
      </c>
      <c r="I120" s="5"/>
    </row>
    <row r="121" spans="1:9" x14ac:dyDescent="0.25">
      <c r="A121" s="191">
        <v>84</v>
      </c>
      <c r="B121" s="192">
        <v>143392285.94303793</v>
      </c>
      <c r="C121" s="189">
        <v>172835976.3090964</v>
      </c>
      <c r="D121" s="87">
        <v>100944653.32654421</v>
      </c>
      <c r="I121" s="5"/>
    </row>
    <row r="122" spans="1:9" x14ac:dyDescent="0.25">
      <c r="A122" s="191">
        <v>85</v>
      </c>
      <c r="B122" s="192">
        <v>143392285.94303793</v>
      </c>
      <c r="C122" s="189">
        <v>156422815.22482768</v>
      </c>
      <c r="D122" s="87">
        <v>174324330.92614526</v>
      </c>
      <c r="F122" s="39"/>
      <c r="I122" s="5"/>
    </row>
    <row r="123" spans="1:9" x14ac:dyDescent="0.25">
      <c r="A123" s="191">
        <v>86</v>
      </c>
      <c r="B123" s="192">
        <v>143392285.94303793</v>
      </c>
      <c r="C123" s="189">
        <v>145427468.24876046</v>
      </c>
      <c r="D123" s="87">
        <v>92805471.0164437</v>
      </c>
      <c r="I123" s="5"/>
    </row>
    <row r="124" spans="1:9" x14ac:dyDescent="0.25">
      <c r="A124" s="191">
        <v>87</v>
      </c>
      <c r="B124" s="192">
        <v>143392285.94303793</v>
      </c>
      <c r="C124" s="189">
        <v>172439128.24912572</v>
      </c>
      <c r="D124" s="87">
        <v>169437755.73286724</v>
      </c>
      <c r="I124" s="5"/>
    </row>
    <row r="125" spans="1:9" x14ac:dyDescent="0.25">
      <c r="A125" s="191">
        <v>88</v>
      </c>
      <c r="B125" s="192">
        <v>143392285.94303793</v>
      </c>
      <c r="C125" s="189">
        <v>176745875.25196564</v>
      </c>
      <c r="D125" s="87">
        <v>136477910.55717775</v>
      </c>
      <c r="I125" s="5"/>
    </row>
    <row r="126" spans="1:9" x14ac:dyDescent="0.25">
      <c r="A126" s="191">
        <v>89</v>
      </c>
      <c r="B126" s="192">
        <v>143392285.94303793</v>
      </c>
      <c r="C126" s="189">
        <v>152580785.11603284</v>
      </c>
      <c r="D126" s="87">
        <v>20314897.464685261</v>
      </c>
      <c r="I126" s="5"/>
    </row>
    <row r="127" spans="1:9" x14ac:dyDescent="0.25">
      <c r="A127" s="191">
        <v>90</v>
      </c>
      <c r="B127" s="192">
        <v>143392285.94303793</v>
      </c>
      <c r="C127" s="189">
        <v>184645704.24569264</v>
      </c>
      <c r="D127" s="87">
        <v>176312560.13777158</v>
      </c>
      <c r="I127" s="5"/>
    </row>
    <row r="128" spans="1:9" x14ac:dyDescent="0.25">
      <c r="A128" s="191">
        <v>91</v>
      </c>
      <c r="B128" s="192">
        <v>143392285.94303793</v>
      </c>
      <c r="C128" s="189">
        <v>140307772.16575384</v>
      </c>
      <c r="D128" s="87">
        <v>206824852.07639486</v>
      </c>
      <c r="I128" s="5"/>
    </row>
    <row r="129" spans="1:9" x14ac:dyDescent="0.25">
      <c r="A129" s="191">
        <v>92</v>
      </c>
      <c r="B129" s="192">
        <v>143392285.94303793</v>
      </c>
      <c r="C129" s="189">
        <v>148835662.96110678</v>
      </c>
      <c r="D129" s="87">
        <v>61980587.93715781</v>
      </c>
      <c r="I129" s="5"/>
    </row>
    <row r="130" spans="1:9" x14ac:dyDescent="0.25">
      <c r="A130" s="191">
        <v>93</v>
      </c>
      <c r="B130" s="192">
        <v>143392285.94303793</v>
      </c>
      <c r="C130" s="189">
        <v>160642393.18277395</v>
      </c>
      <c r="D130" s="87">
        <v>137372766.38276321</v>
      </c>
      <c r="I130" s="5"/>
    </row>
    <row r="131" spans="1:9" x14ac:dyDescent="0.25">
      <c r="A131" s="191">
        <v>94</v>
      </c>
      <c r="B131" s="192">
        <v>143392285.94303793</v>
      </c>
      <c r="C131" s="189">
        <v>166858523.03351158</v>
      </c>
      <c r="D131" s="87">
        <v>120650012.40854862</v>
      </c>
      <c r="I131" s="5"/>
    </row>
    <row r="132" spans="1:9" x14ac:dyDescent="0.25">
      <c r="A132" s="191">
        <v>95</v>
      </c>
      <c r="B132" s="192">
        <v>143392285.94303793</v>
      </c>
      <c r="C132" s="189">
        <v>150143966.30185685</v>
      </c>
      <c r="D132" s="87">
        <v>180181576.59406379</v>
      </c>
      <c r="I132" s="5"/>
    </row>
    <row r="133" spans="1:9" x14ac:dyDescent="0.25">
      <c r="A133" s="191">
        <v>96</v>
      </c>
      <c r="B133" s="192">
        <v>143392285.94303793</v>
      </c>
      <c r="C133" s="189">
        <v>159808080.81194812</v>
      </c>
      <c r="D133" s="87">
        <v>15773706.387437358</v>
      </c>
      <c r="I133" s="5"/>
    </row>
    <row r="134" spans="1:9" x14ac:dyDescent="0.25">
      <c r="A134" s="191">
        <v>97</v>
      </c>
      <c r="B134" s="192">
        <v>143392285.94303793</v>
      </c>
      <c r="C134" s="189">
        <v>151736595.95337421</v>
      </c>
      <c r="D134" s="87">
        <v>155920086.77480835</v>
      </c>
      <c r="I134" s="5"/>
    </row>
    <row r="135" spans="1:9" x14ac:dyDescent="0.25">
      <c r="A135" s="191">
        <v>98</v>
      </c>
      <c r="B135" s="192">
        <v>143392285.94303793</v>
      </c>
      <c r="C135" s="189">
        <v>142407848.90591264</v>
      </c>
      <c r="D135" s="87">
        <v>62935488.566943914</v>
      </c>
      <c r="I135" s="5"/>
    </row>
    <row r="136" spans="1:9" x14ac:dyDescent="0.25">
      <c r="A136" s="191">
        <v>99</v>
      </c>
      <c r="B136" s="192">
        <v>143392285.94303793</v>
      </c>
      <c r="C136" s="189">
        <v>158306904.15928042</v>
      </c>
      <c r="D136" s="87">
        <v>152159340.72721279</v>
      </c>
      <c r="I136" s="5"/>
    </row>
    <row r="137" spans="1:9" x14ac:dyDescent="0.25">
      <c r="A137" s="191">
        <v>100</v>
      </c>
      <c r="B137" s="192">
        <v>143392285.94303793</v>
      </c>
      <c r="C137" s="189">
        <v>172980481.40727091</v>
      </c>
      <c r="D137" s="87">
        <v>199369750.68458146</v>
      </c>
      <c r="I137" s="5"/>
    </row>
    <row r="138" spans="1:9" x14ac:dyDescent="0.25">
      <c r="I138" s="5"/>
    </row>
    <row r="139" spans="1:9" x14ac:dyDescent="0.25">
      <c r="A139" s="91" t="s">
        <v>106</v>
      </c>
      <c r="B139" s="91"/>
      <c r="C139" s="91"/>
      <c r="D139" s="91"/>
      <c r="E139" s="91"/>
      <c r="F139" s="91"/>
      <c r="G139" s="91"/>
      <c r="H139" s="91"/>
      <c r="I139" s="91"/>
    </row>
    <row r="140" spans="1:9" x14ac:dyDescent="0.25">
      <c r="A140" s="191" t="s">
        <v>12</v>
      </c>
      <c r="B140" s="192">
        <f>MIN(B38:B137)</f>
        <v>143392285.94303793</v>
      </c>
      <c r="C140" s="192">
        <f>MIN(C38:C137)</f>
        <v>133086022.65060356</v>
      </c>
      <c r="D140" s="192">
        <f>MIN(D38:D137)</f>
        <v>6462790.554395631</v>
      </c>
      <c r="I140" s="5"/>
    </row>
    <row r="141" spans="1:9" x14ac:dyDescent="0.25">
      <c r="A141" s="191" t="s">
        <v>13</v>
      </c>
      <c r="B141" s="192">
        <f>MAX(B38:B137)</f>
        <v>143392285.94303793</v>
      </c>
      <c r="C141" s="192">
        <f>MAX(C38:C137)</f>
        <v>189862524.27430731</v>
      </c>
      <c r="D141" s="192">
        <f>MAX(D38:D137)</f>
        <v>229902878.8114354</v>
      </c>
      <c r="I141" s="5"/>
    </row>
    <row r="142" spans="1:9" x14ac:dyDescent="0.25">
      <c r="A142" s="191" t="s">
        <v>155</v>
      </c>
      <c r="B142" s="191">
        <v>50</v>
      </c>
      <c r="C142" s="191">
        <v>50</v>
      </c>
      <c r="D142" s="191">
        <v>50</v>
      </c>
      <c r="I142" s="5"/>
    </row>
    <row r="143" spans="1:9" x14ac:dyDescent="0.25">
      <c r="A143" s="191" t="s">
        <v>156</v>
      </c>
      <c r="B143" s="192">
        <f>(B141-B140)/(B142-1)</f>
        <v>0</v>
      </c>
      <c r="C143" s="192">
        <f>(C141-C140)/(C142-1)</f>
        <v>1158704.1147694644</v>
      </c>
      <c r="D143" s="192">
        <f>(D141-D140)/(D142-1)</f>
        <v>4560001.8011640776</v>
      </c>
      <c r="I143" s="5"/>
    </row>
    <row r="144" spans="1:9" x14ac:dyDescent="0.25">
      <c r="A144" s="191" t="s">
        <v>157</v>
      </c>
      <c r="B144" s="191">
        <f>COUNT(B38:B137)</f>
        <v>100</v>
      </c>
      <c r="C144" s="191">
        <f>COUNT(C38:C137)</f>
        <v>100</v>
      </c>
      <c r="D144" s="191">
        <f>COUNT(D38:D137)</f>
        <v>100</v>
      </c>
      <c r="I144" s="5"/>
    </row>
    <row r="145" spans="1:9" x14ac:dyDescent="0.25">
      <c r="A145" s="191" t="s">
        <v>158</v>
      </c>
      <c r="B145" s="192">
        <f>'DCF Static'!$B$26</f>
        <v>143392285.94303793</v>
      </c>
      <c r="C145" s="192">
        <f>'DCF Static'!$B$26</f>
        <v>143392285.94303793</v>
      </c>
      <c r="D145" s="192">
        <f>'DCF Static'!$B$26</f>
        <v>143392285.94303793</v>
      </c>
      <c r="I145" s="5"/>
    </row>
    <row r="146" spans="1:9" x14ac:dyDescent="0.25">
      <c r="I146" s="5"/>
    </row>
    <row r="147" spans="1:9" ht="60" x14ac:dyDescent="0.25">
      <c r="B147" s="5" t="s">
        <v>123</v>
      </c>
      <c r="C147" s="5" t="s">
        <v>124</v>
      </c>
      <c r="D147" s="28" t="s">
        <v>125</v>
      </c>
      <c r="E147" s="28" t="s">
        <v>126</v>
      </c>
      <c r="F147" s="28" t="s">
        <v>127</v>
      </c>
      <c r="G147" s="5" t="s">
        <v>128</v>
      </c>
      <c r="H147" s="28" t="s">
        <v>129</v>
      </c>
      <c r="I147" s="5"/>
    </row>
    <row r="148" spans="1:9" x14ac:dyDescent="0.25">
      <c r="A148" s="191" t="s">
        <v>100</v>
      </c>
      <c r="B148" s="191" t="s">
        <v>159</v>
      </c>
      <c r="C148" s="191" t="s">
        <v>160</v>
      </c>
      <c r="D148" s="191" t="s">
        <v>101</v>
      </c>
      <c r="E148" s="191" t="s">
        <v>103</v>
      </c>
      <c r="F148" s="191" t="s">
        <v>169</v>
      </c>
      <c r="G148" s="191" t="s">
        <v>104</v>
      </c>
      <c r="H148" s="92" t="s">
        <v>105</v>
      </c>
      <c r="I148" s="5"/>
    </row>
    <row r="149" spans="1:9" x14ac:dyDescent="0.25">
      <c r="A149" s="191">
        <v>1</v>
      </c>
      <c r="B149" s="192">
        <f>B140</f>
        <v>143392285.94303793</v>
      </c>
      <c r="C149" s="192">
        <f t="shared" ref="C149:C180" si="0">B149+$B$143</f>
        <v>143392285.94303793</v>
      </c>
      <c r="D149" s="191">
        <f>COUNTIFS($B$38:$B$137,CONCATENATE("&gt;=",B149),$B$38:$B$137,CONCATENATE("&lt;",C149))</f>
        <v>0</v>
      </c>
      <c r="E149" s="191">
        <f>IF(C149&lt;=$B$145,D149,0)</f>
        <v>0</v>
      </c>
      <c r="F149" s="191">
        <f>IF(E149=0,D149,0)</f>
        <v>0</v>
      </c>
      <c r="G149" s="253" t="e">
        <f t="shared" ref="G149:G180" ca="1" si="1">D149/$D$199</f>
        <v>#DIV/0!</v>
      </c>
      <c r="H149" s="253" t="e">
        <f ca="1">SUM($G$149:G149)</f>
        <v>#DIV/0!</v>
      </c>
      <c r="I149" s="5"/>
    </row>
    <row r="150" spans="1:9" x14ac:dyDescent="0.25">
      <c r="A150" s="191">
        <v>2</v>
      </c>
      <c r="B150" s="192">
        <f>C149</f>
        <v>143392285.94303793</v>
      </c>
      <c r="C150" s="192">
        <f t="shared" si="0"/>
        <v>143392285.94303793</v>
      </c>
      <c r="D150" s="191">
        <f t="shared" ref="D150:D181" ca="1" si="2">COUNTIFS($B$37:$B$136,CONCATENATE("&gt;=",B150),$B$37:$B$136,CONCATENATE("&lt;",C150))</f>
        <v>0</v>
      </c>
      <c r="E150" s="191">
        <f ca="1">IF(C150&lt;=$B$145,D150,0)</f>
        <v>0</v>
      </c>
      <c r="F150" s="191">
        <f ca="1">IF(E144=0,D150,0)</f>
        <v>0</v>
      </c>
      <c r="G150" s="253" t="e">
        <f t="shared" ca="1" si="1"/>
        <v>#DIV/0!</v>
      </c>
      <c r="H150" s="253" t="e">
        <f ca="1">SUM($G$149:G150)</f>
        <v>#DIV/0!</v>
      </c>
      <c r="I150" s="5"/>
    </row>
    <row r="151" spans="1:9" x14ac:dyDescent="0.25">
      <c r="A151" s="191">
        <v>3</v>
      </c>
      <c r="B151" s="192">
        <f>C150</f>
        <v>143392285.94303793</v>
      </c>
      <c r="C151" s="192">
        <f t="shared" si="0"/>
        <v>143392285.94303793</v>
      </c>
      <c r="D151" s="191">
        <f t="shared" ca="1" si="2"/>
        <v>0</v>
      </c>
      <c r="E151" s="191">
        <f t="shared" ref="E151:E198" si="3">IF(C151&lt;=$B$144,D151,0)</f>
        <v>0</v>
      </c>
      <c r="F151" s="191">
        <f t="shared" ref="F151:F198" ca="1" si="4">IF(E151=0,D151,0)</f>
        <v>0</v>
      </c>
      <c r="G151" s="253" t="e">
        <f t="shared" ca="1" si="1"/>
        <v>#DIV/0!</v>
      </c>
      <c r="H151" s="253" t="e">
        <f ca="1">SUM($G$149:G151)</f>
        <v>#DIV/0!</v>
      </c>
      <c r="I151" s="5"/>
    </row>
    <row r="152" spans="1:9" x14ac:dyDescent="0.25">
      <c r="A152" s="191">
        <v>4</v>
      </c>
      <c r="B152" s="192">
        <f t="shared" ref="B152:B198" si="5">C151</f>
        <v>143392285.94303793</v>
      </c>
      <c r="C152" s="192">
        <f t="shared" si="0"/>
        <v>143392285.94303793</v>
      </c>
      <c r="D152" s="191">
        <f t="shared" ca="1" si="2"/>
        <v>0</v>
      </c>
      <c r="E152" s="191">
        <f t="shared" si="3"/>
        <v>0</v>
      </c>
      <c r="F152" s="191">
        <f t="shared" ca="1" si="4"/>
        <v>0</v>
      </c>
      <c r="G152" s="253" t="e">
        <f t="shared" ca="1" si="1"/>
        <v>#DIV/0!</v>
      </c>
      <c r="H152" s="253" t="e">
        <f ca="1">SUM($G$149:G152)</f>
        <v>#DIV/0!</v>
      </c>
      <c r="I152" s="5"/>
    </row>
    <row r="153" spans="1:9" x14ac:dyDescent="0.25">
      <c r="A153" s="191">
        <v>5</v>
      </c>
      <c r="B153" s="192">
        <f t="shared" si="5"/>
        <v>143392285.94303793</v>
      </c>
      <c r="C153" s="192">
        <f t="shared" si="0"/>
        <v>143392285.94303793</v>
      </c>
      <c r="D153" s="191">
        <f t="shared" ca="1" si="2"/>
        <v>0</v>
      </c>
      <c r="E153" s="191">
        <f t="shared" si="3"/>
        <v>0</v>
      </c>
      <c r="F153" s="191">
        <f t="shared" ca="1" si="4"/>
        <v>0</v>
      </c>
      <c r="G153" s="253" t="e">
        <f t="shared" ca="1" si="1"/>
        <v>#DIV/0!</v>
      </c>
      <c r="H153" s="253" t="e">
        <f ca="1">SUM($G$149:G153)</f>
        <v>#DIV/0!</v>
      </c>
      <c r="I153" s="5"/>
    </row>
    <row r="154" spans="1:9" x14ac:dyDescent="0.25">
      <c r="A154" s="191">
        <v>6</v>
      </c>
      <c r="B154" s="192">
        <f t="shared" si="5"/>
        <v>143392285.94303793</v>
      </c>
      <c r="C154" s="192">
        <f t="shared" si="0"/>
        <v>143392285.94303793</v>
      </c>
      <c r="D154" s="191">
        <f t="shared" ca="1" si="2"/>
        <v>0</v>
      </c>
      <c r="E154" s="191">
        <f t="shared" si="3"/>
        <v>0</v>
      </c>
      <c r="F154" s="191">
        <f t="shared" ca="1" si="4"/>
        <v>0</v>
      </c>
      <c r="G154" s="253" t="e">
        <f t="shared" ca="1" si="1"/>
        <v>#DIV/0!</v>
      </c>
      <c r="H154" s="253" t="e">
        <f ca="1">SUM($G$149:G154)</f>
        <v>#DIV/0!</v>
      </c>
      <c r="I154" s="5"/>
    </row>
    <row r="155" spans="1:9" x14ac:dyDescent="0.25">
      <c r="A155" s="191">
        <v>7</v>
      </c>
      <c r="B155" s="192">
        <f t="shared" si="5"/>
        <v>143392285.94303793</v>
      </c>
      <c r="C155" s="192">
        <f t="shared" si="0"/>
        <v>143392285.94303793</v>
      </c>
      <c r="D155" s="191">
        <f t="shared" ca="1" si="2"/>
        <v>0</v>
      </c>
      <c r="E155" s="191">
        <f t="shared" si="3"/>
        <v>0</v>
      </c>
      <c r="F155" s="191">
        <f t="shared" ca="1" si="4"/>
        <v>0</v>
      </c>
      <c r="G155" s="253" t="e">
        <f t="shared" ca="1" si="1"/>
        <v>#DIV/0!</v>
      </c>
      <c r="H155" s="253" t="e">
        <f ca="1">SUM($G$149:G155)</f>
        <v>#DIV/0!</v>
      </c>
      <c r="I155" s="5"/>
    </row>
    <row r="156" spans="1:9" x14ac:dyDescent="0.25">
      <c r="A156" s="191">
        <v>8</v>
      </c>
      <c r="B156" s="192">
        <f t="shared" si="5"/>
        <v>143392285.94303793</v>
      </c>
      <c r="C156" s="192">
        <f t="shared" si="0"/>
        <v>143392285.94303793</v>
      </c>
      <c r="D156" s="191">
        <f t="shared" ca="1" si="2"/>
        <v>0</v>
      </c>
      <c r="E156" s="191">
        <f t="shared" si="3"/>
        <v>0</v>
      </c>
      <c r="F156" s="191">
        <f t="shared" ca="1" si="4"/>
        <v>0</v>
      </c>
      <c r="G156" s="253" t="e">
        <f t="shared" ca="1" si="1"/>
        <v>#DIV/0!</v>
      </c>
      <c r="H156" s="253" t="e">
        <f ca="1">SUM($G$149:G156)</f>
        <v>#DIV/0!</v>
      </c>
      <c r="I156" s="5"/>
    </row>
    <row r="157" spans="1:9" x14ac:dyDescent="0.25">
      <c r="A157" s="191">
        <v>9</v>
      </c>
      <c r="B157" s="192">
        <f t="shared" si="5"/>
        <v>143392285.94303793</v>
      </c>
      <c r="C157" s="192">
        <f t="shared" si="0"/>
        <v>143392285.94303793</v>
      </c>
      <c r="D157" s="191">
        <f t="shared" ca="1" si="2"/>
        <v>0</v>
      </c>
      <c r="E157" s="191">
        <f t="shared" si="3"/>
        <v>0</v>
      </c>
      <c r="F157" s="191">
        <f t="shared" ca="1" si="4"/>
        <v>0</v>
      </c>
      <c r="G157" s="253" t="e">
        <f t="shared" ca="1" si="1"/>
        <v>#DIV/0!</v>
      </c>
      <c r="H157" s="253" t="e">
        <f ca="1">SUM($G$149:G157)</f>
        <v>#DIV/0!</v>
      </c>
      <c r="I157" s="5"/>
    </row>
    <row r="158" spans="1:9" x14ac:dyDescent="0.25">
      <c r="A158" s="191">
        <v>10</v>
      </c>
      <c r="B158" s="192">
        <f t="shared" si="5"/>
        <v>143392285.94303793</v>
      </c>
      <c r="C158" s="192">
        <f t="shared" si="0"/>
        <v>143392285.94303793</v>
      </c>
      <c r="D158" s="191">
        <f t="shared" ca="1" si="2"/>
        <v>0</v>
      </c>
      <c r="E158" s="191">
        <f t="shared" si="3"/>
        <v>0</v>
      </c>
      <c r="F158" s="191">
        <f t="shared" ca="1" si="4"/>
        <v>0</v>
      </c>
      <c r="G158" s="253" t="e">
        <f t="shared" ca="1" si="1"/>
        <v>#DIV/0!</v>
      </c>
      <c r="H158" s="253" t="e">
        <f ca="1">SUM($G$149:G158)</f>
        <v>#DIV/0!</v>
      </c>
      <c r="I158" s="5"/>
    </row>
    <row r="159" spans="1:9" x14ac:dyDescent="0.25">
      <c r="A159" s="191">
        <v>11</v>
      </c>
      <c r="B159" s="192">
        <f t="shared" si="5"/>
        <v>143392285.94303793</v>
      </c>
      <c r="C159" s="192">
        <f t="shared" si="0"/>
        <v>143392285.94303793</v>
      </c>
      <c r="D159" s="191">
        <f t="shared" ca="1" si="2"/>
        <v>0</v>
      </c>
      <c r="E159" s="191">
        <f t="shared" si="3"/>
        <v>0</v>
      </c>
      <c r="F159" s="191">
        <f t="shared" ca="1" si="4"/>
        <v>0</v>
      </c>
      <c r="G159" s="253" t="e">
        <f t="shared" ca="1" si="1"/>
        <v>#DIV/0!</v>
      </c>
      <c r="H159" s="253" t="e">
        <f ca="1">SUM($G$149:G159)</f>
        <v>#DIV/0!</v>
      </c>
      <c r="I159" s="5"/>
    </row>
    <row r="160" spans="1:9" x14ac:dyDescent="0.25">
      <c r="A160" s="191">
        <v>12</v>
      </c>
      <c r="B160" s="192">
        <f t="shared" si="5"/>
        <v>143392285.94303793</v>
      </c>
      <c r="C160" s="192">
        <f t="shared" si="0"/>
        <v>143392285.94303793</v>
      </c>
      <c r="D160" s="191">
        <f t="shared" ca="1" si="2"/>
        <v>0</v>
      </c>
      <c r="E160" s="191">
        <f t="shared" si="3"/>
        <v>0</v>
      </c>
      <c r="F160" s="191">
        <f t="shared" ca="1" si="4"/>
        <v>0</v>
      </c>
      <c r="G160" s="253" t="e">
        <f t="shared" ca="1" si="1"/>
        <v>#DIV/0!</v>
      </c>
      <c r="H160" s="253" t="e">
        <f ca="1">SUM($G$149:G160)</f>
        <v>#DIV/0!</v>
      </c>
      <c r="I160" s="5"/>
    </row>
    <row r="161" spans="1:9" x14ac:dyDescent="0.25">
      <c r="A161" s="191">
        <v>13</v>
      </c>
      <c r="B161" s="192">
        <f t="shared" si="5"/>
        <v>143392285.94303793</v>
      </c>
      <c r="C161" s="192">
        <f t="shared" si="0"/>
        <v>143392285.94303793</v>
      </c>
      <c r="D161" s="191">
        <f t="shared" ca="1" si="2"/>
        <v>0</v>
      </c>
      <c r="E161" s="191">
        <f t="shared" si="3"/>
        <v>0</v>
      </c>
      <c r="F161" s="191">
        <f t="shared" ca="1" si="4"/>
        <v>0</v>
      </c>
      <c r="G161" s="253" t="e">
        <f t="shared" ca="1" si="1"/>
        <v>#DIV/0!</v>
      </c>
      <c r="H161" s="253" t="e">
        <f ca="1">SUM($G$149:G161)</f>
        <v>#DIV/0!</v>
      </c>
      <c r="I161" s="5"/>
    </row>
    <row r="162" spans="1:9" x14ac:dyDescent="0.25">
      <c r="A162" s="191">
        <v>14</v>
      </c>
      <c r="B162" s="192">
        <f t="shared" si="5"/>
        <v>143392285.94303793</v>
      </c>
      <c r="C162" s="192">
        <f t="shared" si="0"/>
        <v>143392285.94303793</v>
      </c>
      <c r="D162" s="191">
        <f t="shared" ca="1" si="2"/>
        <v>0</v>
      </c>
      <c r="E162" s="191">
        <f t="shared" si="3"/>
        <v>0</v>
      </c>
      <c r="F162" s="191">
        <f t="shared" ca="1" si="4"/>
        <v>0</v>
      </c>
      <c r="G162" s="253" t="e">
        <f t="shared" ca="1" si="1"/>
        <v>#DIV/0!</v>
      </c>
      <c r="H162" s="253" t="e">
        <f ca="1">SUM($G$149:G162)</f>
        <v>#DIV/0!</v>
      </c>
      <c r="I162" s="5"/>
    </row>
    <row r="163" spans="1:9" x14ac:dyDescent="0.25">
      <c r="A163" s="191">
        <v>15</v>
      </c>
      <c r="B163" s="192">
        <f t="shared" si="5"/>
        <v>143392285.94303793</v>
      </c>
      <c r="C163" s="192">
        <f t="shared" si="0"/>
        <v>143392285.94303793</v>
      </c>
      <c r="D163" s="191">
        <f t="shared" ca="1" si="2"/>
        <v>0</v>
      </c>
      <c r="E163" s="191">
        <f t="shared" si="3"/>
        <v>0</v>
      </c>
      <c r="F163" s="191">
        <f t="shared" ca="1" si="4"/>
        <v>0</v>
      </c>
      <c r="G163" s="253" t="e">
        <f t="shared" ca="1" si="1"/>
        <v>#DIV/0!</v>
      </c>
      <c r="H163" s="253" t="e">
        <f ca="1">SUM($G$149:G163)</f>
        <v>#DIV/0!</v>
      </c>
      <c r="I163" s="5"/>
    </row>
    <row r="164" spans="1:9" x14ac:dyDescent="0.25">
      <c r="A164" s="191">
        <v>16</v>
      </c>
      <c r="B164" s="192">
        <f t="shared" si="5"/>
        <v>143392285.94303793</v>
      </c>
      <c r="C164" s="192">
        <f t="shared" si="0"/>
        <v>143392285.94303793</v>
      </c>
      <c r="D164" s="191">
        <f t="shared" ca="1" si="2"/>
        <v>0</v>
      </c>
      <c r="E164" s="191">
        <f t="shared" si="3"/>
        <v>0</v>
      </c>
      <c r="F164" s="191">
        <f t="shared" ca="1" si="4"/>
        <v>0</v>
      </c>
      <c r="G164" s="253" t="e">
        <f t="shared" ca="1" si="1"/>
        <v>#DIV/0!</v>
      </c>
      <c r="H164" s="253" t="e">
        <f ca="1">SUM($G$149:G164)</f>
        <v>#DIV/0!</v>
      </c>
      <c r="I164" s="5"/>
    </row>
    <row r="165" spans="1:9" x14ac:dyDescent="0.25">
      <c r="A165" s="191">
        <v>17</v>
      </c>
      <c r="B165" s="192">
        <f t="shared" si="5"/>
        <v>143392285.94303793</v>
      </c>
      <c r="C165" s="192">
        <f t="shared" si="0"/>
        <v>143392285.94303793</v>
      </c>
      <c r="D165" s="191">
        <f t="shared" ca="1" si="2"/>
        <v>0</v>
      </c>
      <c r="E165" s="191">
        <f t="shared" si="3"/>
        <v>0</v>
      </c>
      <c r="F165" s="191">
        <f t="shared" ca="1" si="4"/>
        <v>0</v>
      </c>
      <c r="G165" s="253" t="e">
        <f t="shared" ca="1" si="1"/>
        <v>#DIV/0!</v>
      </c>
      <c r="H165" s="253" t="e">
        <f ca="1">SUM($G$149:G165)</f>
        <v>#DIV/0!</v>
      </c>
      <c r="I165" s="5"/>
    </row>
    <row r="166" spans="1:9" x14ac:dyDescent="0.25">
      <c r="A166" s="191">
        <v>18</v>
      </c>
      <c r="B166" s="192">
        <f t="shared" si="5"/>
        <v>143392285.94303793</v>
      </c>
      <c r="C166" s="192">
        <f t="shared" si="0"/>
        <v>143392285.94303793</v>
      </c>
      <c r="D166" s="191">
        <f t="shared" ca="1" si="2"/>
        <v>0</v>
      </c>
      <c r="E166" s="191">
        <f t="shared" si="3"/>
        <v>0</v>
      </c>
      <c r="F166" s="191">
        <f t="shared" ca="1" si="4"/>
        <v>0</v>
      </c>
      <c r="G166" s="253" t="e">
        <f t="shared" ca="1" si="1"/>
        <v>#DIV/0!</v>
      </c>
      <c r="H166" s="253" t="e">
        <f ca="1">SUM($G$149:G166)</f>
        <v>#DIV/0!</v>
      </c>
      <c r="I166" s="5"/>
    </row>
    <row r="167" spans="1:9" x14ac:dyDescent="0.25">
      <c r="A167" s="191">
        <v>19</v>
      </c>
      <c r="B167" s="192">
        <f t="shared" si="5"/>
        <v>143392285.94303793</v>
      </c>
      <c r="C167" s="192">
        <f t="shared" si="0"/>
        <v>143392285.94303793</v>
      </c>
      <c r="D167" s="191">
        <f t="shared" ca="1" si="2"/>
        <v>0</v>
      </c>
      <c r="E167" s="191">
        <f t="shared" si="3"/>
        <v>0</v>
      </c>
      <c r="F167" s="191">
        <f t="shared" ca="1" si="4"/>
        <v>0</v>
      </c>
      <c r="G167" s="253" t="e">
        <f t="shared" ca="1" si="1"/>
        <v>#DIV/0!</v>
      </c>
      <c r="H167" s="253" t="e">
        <f ca="1">SUM($G$149:G167)</f>
        <v>#DIV/0!</v>
      </c>
      <c r="I167" s="5"/>
    </row>
    <row r="168" spans="1:9" x14ac:dyDescent="0.25">
      <c r="A168" s="191">
        <v>20</v>
      </c>
      <c r="B168" s="192">
        <f t="shared" si="5"/>
        <v>143392285.94303793</v>
      </c>
      <c r="C168" s="192">
        <f t="shared" si="0"/>
        <v>143392285.94303793</v>
      </c>
      <c r="D168" s="191">
        <f t="shared" ca="1" si="2"/>
        <v>0</v>
      </c>
      <c r="E168" s="191">
        <f t="shared" si="3"/>
        <v>0</v>
      </c>
      <c r="F168" s="191">
        <f t="shared" ca="1" si="4"/>
        <v>0</v>
      </c>
      <c r="G168" s="253" t="e">
        <f t="shared" ca="1" si="1"/>
        <v>#DIV/0!</v>
      </c>
      <c r="H168" s="253" t="e">
        <f ca="1">SUM($G$149:G168)</f>
        <v>#DIV/0!</v>
      </c>
      <c r="I168" s="5"/>
    </row>
    <row r="169" spans="1:9" x14ac:dyDescent="0.25">
      <c r="A169" s="191">
        <v>21</v>
      </c>
      <c r="B169" s="192">
        <f t="shared" si="5"/>
        <v>143392285.94303793</v>
      </c>
      <c r="C169" s="192">
        <f t="shared" si="0"/>
        <v>143392285.94303793</v>
      </c>
      <c r="D169" s="191">
        <f t="shared" ca="1" si="2"/>
        <v>0</v>
      </c>
      <c r="E169" s="191">
        <f t="shared" si="3"/>
        <v>0</v>
      </c>
      <c r="F169" s="191">
        <f t="shared" ca="1" si="4"/>
        <v>0</v>
      </c>
      <c r="G169" s="253" t="e">
        <f t="shared" ca="1" si="1"/>
        <v>#DIV/0!</v>
      </c>
      <c r="H169" s="253" t="e">
        <f ca="1">SUM($G$149:G169)</f>
        <v>#DIV/0!</v>
      </c>
      <c r="I169" s="5"/>
    </row>
    <row r="170" spans="1:9" x14ac:dyDescent="0.25">
      <c r="A170" s="191">
        <v>22</v>
      </c>
      <c r="B170" s="192">
        <f t="shared" si="5"/>
        <v>143392285.94303793</v>
      </c>
      <c r="C170" s="192">
        <f t="shared" si="0"/>
        <v>143392285.94303793</v>
      </c>
      <c r="D170" s="191">
        <f t="shared" ca="1" si="2"/>
        <v>0</v>
      </c>
      <c r="E170" s="191">
        <f t="shared" si="3"/>
        <v>0</v>
      </c>
      <c r="F170" s="191">
        <f t="shared" ca="1" si="4"/>
        <v>0</v>
      </c>
      <c r="G170" s="253" t="e">
        <f t="shared" ca="1" si="1"/>
        <v>#DIV/0!</v>
      </c>
      <c r="H170" s="253" t="e">
        <f ca="1">SUM($G$149:G170)</f>
        <v>#DIV/0!</v>
      </c>
      <c r="I170" s="5"/>
    </row>
    <row r="171" spans="1:9" x14ac:dyDescent="0.25">
      <c r="A171" s="191">
        <v>23</v>
      </c>
      <c r="B171" s="192">
        <f t="shared" si="5"/>
        <v>143392285.94303793</v>
      </c>
      <c r="C171" s="192">
        <f t="shared" si="0"/>
        <v>143392285.94303793</v>
      </c>
      <c r="D171" s="191">
        <f t="shared" ca="1" si="2"/>
        <v>0</v>
      </c>
      <c r="E171" s="191">
        <f t="shared" si="3"/>
        <v>0</v>
      </c>
      <c r="F171" s="191">
        <f t="shared" ca="1" si="4"/>
        <v>0</v>
      </c>
      <c r="G171" s="253" t="e">
        <f t="shared" ca="1" si="1"/>
        <v>#DIV/0!</v>
      </c>
      <c r="H171" s="253" t="e">
        <f ca="1">SUM($G$149:G171)</f>
        <v>#DIV/0!</v>
      </c>
      <c r="I171" s="5"/>
    </row>
    <row r="172" spans="1:9" x14ac:dyDescent="0.25">
      <c r="A172" s="191">
        <v>24</v>
      </c>
      <c r="B172" s="192">
        <f t="shared" si="5"/>
        <v>143392285.94303793</v>
      </c>
      <c r="C172" s="192">
        <f t="shared" si="0"/>
        <v>143392285.94303793</v>
      </c>
      <c r="D172" s="191">
        <f t="shared" ca="1" si="2"/>
        <v>0</v>
      </c>
      <c r="E172" s="191">
        <f t="shared" si="3"/>
        <v>0</v>
      </c>
      <c r="F172" s="191">
        <f t="shared" ca="1" si="4"/>
        <v>0</v>
      </c>
      <c r="G172" s="253" t="e">
        <f t="shared" ca="1" si="1"/>
        <v>#DIV/0!</v>
      </c>
      <c r="H172" s="253" t="e">
        <f ca="1">SUM($G$149:G172)</f>
        <v>#DIV/0!</v>
      </c>
      <c r="I172" s="5"/>
    </row>
    <row r="173" spans="1:9" x14ac:dyDescent="0.25">
      <c r="A173" s="191">
        <v>25</v>
      </c>
      <c r="B173" s="192">
        <f t="shared" si="5"/>
        <v>143392285.94303793</v>
      </c>
      <c r="C173" s="192">
        <f t="shared" si="0"/>
        <v>143392285.94303793</v>
      </c>
      <c r="D173" s="191">
        <f t="shared" ca="1" si="2"/>
        <v>0</v>
      </c>
      <c r="E173" s="191">
        <f t="shared" si="3"/>
        <v>0</v>
      </c>
      <c r="F173" s="191">
        <f t="shared" ca="1" si="4"/>
        <v>0</v>
      </c>
      <c r="G173" s="253" t="e">
        <f t="shared" ca="1" si="1"/>
        <v>#DIV/0!</v>
      </c>
      <c r="H173" s="253" t="e">
        <f ca="1">SUM($G$149:G173)</f>
        <v>#DIV/0!</v>
      </c>
      <c r="I173" s="5"/>
    </row>
    <row r="174" spans="1:9" x14ac:dyDescent="0.25">
      <c r="A174" s="191">
        <v>26</v>
      </c>
      <c r="B174" s="192">
        <f t="shared" si="5"/>
        <v>143392285.94303793</v>
      </c>
      <c r="C174" s="192">
        <f t="shared" si="0"/>
        <v>143392285.94303793</v>
      </c>
      <c r="D174" s="191">
        <f t="shared" ca="1" si="2"/>
        <v>0</v>
      </c>
      <c r="E174" s="191">
        <f t="shared" si="3"/>
        <v>0</v>
      </c>
      <c r="F174" s="191">
        <f t="shared" ca="1" si="4"/>
        <v>0</v>
      </c>
      <c r="G174" s="253" t="e">
        <f t="shared" ca="1" si="1"/>
        <v>#DIV/0!</v>
      </c>
      <c r="H174" s="253" t="e">
        <f ca="1">SUM($G$149:G174)</f>
        <v>#DIV/0!</v>
      </c>
      <c r="I174" s="5"/>
    </row>
    <row r="175" spans="1:9" x14ac:dyDescent="0.25">
      <c r="A175" s="191">
        <v>27</v>
      </c>
      <c r="B175" s="192">
        <f t="shared" si="5"/>
        <v>143392285.94303793</v>
      </c>
      <c r="C175" s="192">
        <f t="shared" si="0"/>
        <v>143392285.94303793</v>
      </c>
      <c r="D175" s="191">
        <f t="shared" ca="1" si="2"/>
        <v>0</v>
      </c>
      <c r="E175" s="191">
        <f t="shared" si="3"/>
        <v>0</v>
      </c>
      <c r="F175" s="191">
        <f t="shared" ca="1" si="4"/>
        <v>0</v>
      </c>
      <c r="G175" s="253" t="e">
        <f t="shared" ca="1" si="1"/>
        <v>#DIV/0!</v>
      </c>
      <c r="H175" s="253" t="e">
        <f ca="1">SUM($G$149:G175)</f>
        <v>#DIV/0!</v>
      </c>
      <c r="I175" s="5"/>
    </row>
    <row r="176" spans="1:9" x14ac:dyDescent="0.25">
      <c r="A176" s="191">
        <v>28</v>
      </c>
      <c r="B176" s="192">
        <f t="shared" si="5"/>
        <v>143392285.94303793</v>
      </c>
      <c r="C176" s="192">
        <f t="shared" si="0"/>
        <v>143392285.94303793</v>
      </c>
      <c r="D176" s="191">
        <f t="shared" ca="1" si="2"/>
        <v>0</v>
      </c>
      <c r="E176" s="191">
        <f t="shared" si="3"/>
        <v>0</v>
      </c>
      <c r="F176" s="191">
        <f t="shared" ca="1" si="4"/>
        <v>0</v>
      </c>
      <c r="G176" s="253" t="e">
        <f t="shared" ca="1" si="1"/>
        <v>#DIV/0!</v>
      </c>
      <c r="H176" s="253" t="e">
        <f ca="1">SUM($G$149:G176)</f>
        <v>#DIV/0!</v>
      </c>
      <c r="I176" s="5"/>
    </row>
    <row r="177" spans="1:9" x14ac:dyDescent="0.25">
      <c r="A177" s="191">
        <v>29</v>
      </c>
      <c r="B177" s="192">
        <f t="shared" si="5"/>
        <v>143392285.94303793</v>
      </c>
      <c r="C177" s="192">
        <f t="shared" si="0"/>
        <v>143392285.94303793</v>
      </c>
      <c r="D177" s="191">
        <f t="shared" ca="1" si="2"/>
        <v>0</v>
      </c>
      <c r="E177" s="191">
        <f t="shared" si="3"/>
        <v>0</v>
      </c>
      <c r="F177" s="191">
        <f t="shared" ca="1" si="4"/>
        <v>0</v>
      </c>
      <c r="G177" s="253" t="e">
        <f t="shared" ca="1" si="1"/>
        <v>#DIV/0!</v>
      </c>
      <c r="H177" s="253" t="e">
        <f ca="1">SUM($G$149:G177)</f>
        <v>#DIV/0!</v>
      </c>
      <c r="I177" s="5"/>
    </row>
    <row r="178" spans="1:9" x14ac:dyDescent="0.25">
      <c r="A178" s="191">
        <v>30</v>
      </c>
      <c r="B178" s="192">
        <f t="shared" si="5"/>
        <v>143392285.94303793</v>
      </c>
      <c r="C178" s="192">
        <f t="shared" si="0"/>
        <v>143392285.94303793</v>
      </c>
      <c r="D178" s="191">
        <f t="shared" ca="1" si="2"/>
        <v>0</v>
      </c>
      <c r="E178" s="191">
        <f t="shared" si="3"/>
        <v>0</v>
      </c>
      <c r="F178" s="191">
        <f t="shared" ca="1" si="4"/>
        <v>0</v>
      </c>
      <c r="G178" s="253" t="e">
        <f t="shared" ca="1" si="1"/>
        <v>#DIV/0!</v>
      </c>
      <c r="H178" s="253" t="e">
        <f ca="1">SUM($G$149:G178)</f>
        <v>#DIV/0!</v>
      </c>
      <c r="I178" s="5"/>
    </row>
    <row r="179" spans="1:9" x14ac:dyDescent="0.25">
      <c r="A179" s="191">
        <v>31</v>
      </c>
      <c r="B179" s="192">
        <f t="shared" si="5"/>
        <v>143392285.94303793</v>
      </c>
      <c r="C179" s="192">
        <f t="shared" si="0"/>
        <v>143392285.94303793</v>
      </c>
      <c r="D179" s="191">
        <f t="shared" ca="1" si="2"/>
        <v>0</v>
      </c>
      <c r="E179" s="191">
        <f t="shared" si="3"/>
        <v>0</v>
      </c>
      <c r="F179" s="191">
        <f t="shared" ca="1" si="4"/>
        <v>0</v>
      </c>
      <c r="G179" s="253" t="e">
        <f t="shared" ca="1" si="1"/>
        <v>#DIV/0!</v>
      </c>
      <c r="H179" s="253" t="e">
        <f ca="1">SUM($G$149:G179)</f>
        <v>#DIV/0!</v>
      </c>
      <c r="I179" s="5"/>
    </row>
    <row r="180" spans="1:9" x14ac:dyDescent="0.25">
      <c r="A180" s="191">
        <v>32</v>
      </c>
      <c r="B180" s="192">
        <f t="shared" si="5"/>
        <v>143392285.94303793</v>
      </c>
      <c r="C180" s="192">
        <f t="shared" si="0"/>
        <v>143392285.94303793</v>
      </c>
      <c r="D180" s="191">
        <f t="shared" ca="1" si="2"/>
        <v>0</v>
      </c>
      <c r="E180" s="191">
        <f t="shared" si="3"/>
        <v>0</v>
      </c>
      <c r="F180" s="191">
        <f t="shared" ca="1" si="4"/>
        <v>0</v>
      </c>
      <c r="G180" s="253" t="e">
        <f t="shared" ca="1" si="1"/>
        <v>#DIV/0!</v>
      </c>
      <c r="H180" s="253" t="e">
        <f ca="1">SUM($G$149:G180)</f>
        <v>#DIV/0!</v>
      </c>
      <c r="I180" s="5"/>
    </row>
    <row r="181" spans="1:9" x14ac:dyDescent="0.25">
      <c r="A181" s="191">
        <v>33</v>
      </c>
      <c r="B181" s="192">
        <f t="shared" si="5"/>
        <v>143392285.94303793</v>
      </c>
      <c r="C181" s="192">
        <f t="shared" ref="C181:C198" si="6">B181+$B$143</f>
        <v>143392285.94303793</v>
      </c>
      <c r="D181" s="191">
        <f t="shared" ca="1" si="2"/>
        <v>0</v>
      </c>
      <c r="E181" s="191">
        <f t="shared" si="3"/>
        <v>0</v>
      </c>
      <c r="F181" s="191">
        <f t="shared" ca="1" si="4"/>
        <v>0</v>
      </c>
      <c r="G181" s="253" t="e">
        <f t="shared" ref="G181:G198" ca="1" si="7">D181/$D$199</f>
        <v>#DIV/0!</v>
      </c>
      <c r="H181" s="253" t="e">
        <f ca="1">SUM($G$149:G181)</f>
        <v>#DIV/0!</v>
      </c>
      <c r="I181" s="5"/>
    </row>
    <row r="182" spans="1:9" x14ac:dyDescent="0.25">
      <c r="A182" s="191">
        <v>34</v>
      </c>
      <c r="B182" s="192">
        <f t="shared" si="5"/>
        <v>143392285.94303793</v>
      </c>
      <c r="C182" s="192">
        <f t="shared" si="6"/>
        <v>143392285.94303793</v>
      </c>
      <c r="D182" s="191">
        <f t="shared" ref="D182:D198" ca="1" si="8">COUNTIFS($B$37:$B$136,CONCATENATE("&gt;=",B182),$B$37:$B$136,CONCATENATE("&lt;",C182))</f>
        <v>0</v>
      </c>
      <c r="E182" s="191">
        <f t="shared" si="3"/>
        <v>0</v>
      </c>
      <c r="F182" s="191">
        <f t="shared" ca="1" si="4"/>
        <v>0</v>
      </c>
      <c r="G182" s="253" t="e">
        <f t="shared" ca="1" si="7"/>
        <v>#DIV/0!</v>
      </c>
      <c r="H182" s="253" t="e">
        <f ca="1">SUM($G$149:G182)</f>
        <v>#DIV/0!</v>
      </c>
      <c r="I182" s="5"/>
    </row>
    <row r="183" spans="1:9" x14ac:dyDescent="0.25">
      <c r="A183" s="191">
        <v>35</v>
      </c>
      <c r="B183" s="192">
        <f t="shared" si="5"/>
        <v>143392285.94303793</v>
      </c>
      <c r="C183" s="192">
        <f t="shared" si="6"/>
        <v>143392285.94303793</v>
      </c>
      <c r="D183" s="191">
        <f t="shared" ca="1" si="8"/>
        <v>0</v>
      </c>
      <c r="E183" s="191">
        <f t="shared" si="3"/>
        <v>0</v>
      </c>
      <c r="F183" s="191">
        <f t="shared" ca="1" si="4"/>
        <v>0</v>
      </c>
      <c r="G183" s="253" t="e">
        <f t="shared" ca="1" si="7"/>
        <v>#DIV/0!</v>
      </c>
      <c r="H183" s="253" t="e">
        <f ca="1">SUM($G$149:G183)</f>
        <v>#DIV/0!</v>
      </c>
      <c r="I183" s="5"/>
    </row>
    <row r="184" spans="1:9" x14ac:dyDescent="0.25">
      <c r="A184" s="191">
        <v>36</v>
      </c>
      <c r="B184" s="192">
        <f t="shared" si="5"/>
        <v>143392285.94303793</v>
      </c>
      <c r="C184" s="192">
        <f t="shared" si="6"/>
        <v>143392285.94303793</v>
      </c>
      <c r="D184" s="191">
        <f t="shared" ca="1" si="8"/>
        <v>0</v>
      </c>
      <c r="E184" s="191">
        <f t="shared" si="3"/>
        <v>0</v>
      </c>
      <c r="F184" s="191">
        <f t="shared" ca="1" si="4"/>
        <v>0</v>
      </c>
      <c r="G184" s="253" t="e">
        <f t="shared" ca="1" si="7"/>
        <v>#DIV/0!</v>
      </c>
      <c r="H184" s="253" t="e">
        <f ca="1">SUM($G$149:G184)</f>
        <v>#DIV/0!</v>
      </c>
      <c r="I184" s="5"/>
    </row>
    <row r="185" spans="1:9" x14ac:dyDescent="0.25">
      <c r="A185" s="191">
        <v>37</v>
      </c>
      <c r="B185" s="192">
        <f t="shared" si="5"/>
        <v>143392285.94303793</v>
      </c>
      <c r="C185" s="192">
        <f t="shared" si="6"/>
        <v>143392285.94303793</v>
      </c>
      <c r="D185" s="191">
        <f t="shared" ca="1" si="8"/>
        <v>0</v>
      </c>
      <c r="E185" s="191">
        <f t="shared" si="3"/>
        <v>0</v>
      </c>
      <c r="F185" s="191">
        <f t="shared" ca="1" si="4"/>
        <v>0</v>
      </c>
      <c r="G185" s="253" t="e">
        <f t="shared" ca="1" si="7"/>
        <v>#DIV/0!</v>
      </c>
      <c r="H185" s="253" t="e">
        <f ca="1">SUM($G$149:G185)</f>
        <v>#DIV/0!</v>
      </c>
      <c r="I185" s="5"/>
    </row>
    <row r="186" spans="1:9" x14ac:dyDescent="0.25">
      <c r="A186" s="191">
        <v>38</v>
      </c>
      <c r="B186" s="192">
        <f t="shared" si="5"/>
        <v>143392285.94303793</v>
      </c>
      <c r="C186" s="192">
        <f t="shared" si="6"/>
        <v>143392285.94303793</v>
      </c>
      <c r="D186" s="191">
        <f t="shared" ca="1" si="8"/>
        <v>0</v>
      </c>
      <c r="E186" s="191">
        <f t="shared" si="3"/>
        <v>0</v>
      </c>
      <c r="F186" s="191">
        <f t="shared" ca="1" si="4"/>
        <v>0</v>
      </c>
      <c r="G186" s="253" t="e">
        <f t="shared" ca="1" si="7"/>
        <v>#DIV/0!</v>
      </c>
      <c r="H186" s="253" t="e">
        <f ca="1">SUM($G$149:G186)</f>
        <v>#DIV/0!</v>
      </c>
      <c r="I186" s="5"/>
    </row>
    <row r="187" spans="1:9" x14ac:dyDescent="0.25">
      <c r="A187" s="191">
        <v>39</v>
      </c>
      <c r="B187" s="192">
        <f t="shared" si="5"/>
        <v>143392285.94303793</v>
      </c>
      <c r="C187" s="192">
        <f t="shared" si="6"/>
        <v>143392285.94303793</v>
      </c>
      <c r="D187" s="191">
        <f t="shared" ca="1" si="8"/>
        <v>0</v>
      </c>
      <c r="E187" s="191">
        <f t="shared" si="3"/>
        <v>0</v>
      </c>
      <c r="F187" s="191">
        <f t="shared" ca="1" si="4"/>
        <v>0</v>
      </c>
      <c r="G187" s="253" t="e">
        <f t="shared" ca="1" si="7"/>
        <v>#DIV/0!</v>
      </c>
      <c r="H187" s="253" t="e">
        <f ca="1">SUM($G$149:G187)</f>
        <v>#DIV/0!</v>
      </c>
      <c r="I187" s="5"/>
    </row>
    <row r="188" spans="1:9" x14ac:dyDescent="0.25">
      <c r="A188" s="191">
        <v>40</v>
      </c>
      <c r="B188" s="192">
        <f t="shared" si="5"/>
        <v>143392285.94303793</v>
      </c>
      <c r="C188" s="192">
        <f t="shared" si="6"/>
        <v>143392285.94303793</v>
      </c>
      <c r="D188" s="191">
        <f t="shared" ca="1" si="8"/>
        <v>0</v>
      </c>
      <c r="E188" s="191">
        <f t="shared" si="3"/>
        <v>0</v>
      </c>
      <c r="F188" s="191">
        <f t="shared" ca="1" si="4"/>
        <v>0</v>
      </c>
      <c r="G188" s="253" t="e">
        <f t="shared" ca="1" si="7"/>
        <v>#DIV/0!</v>
      </c>
      <c r="H188" s="253" t="e">
        <f ca="1">SUM($G$149:G188)</f>
        <v>#DIV/0!</v>
      </c>
      <c r="I188" s="5"/>
    </row>
    <row r="189" spans="1:9" x14ac:dyDescent="0.25">
      <c r="A189" s="191">
        <v>41</v>
      </c>
      <c r="B189" s="192">
        <f t="shared" si="5"/>
        <v>143392285.94303793</v>
      </c>
      <c r="C189" s="192">
        <f t="shared" si="6"/>
        <v>143392285.94303793</v>
      </c>
      <c r="D189" s="191">
        <f t="shared" ca="1" si="8"/>
        <v>0</v>
      </c>
      <c r="E189" s="191">
        <f t="shared" si="3"/>
        <v>0</v>
      </c>
      <c r="F189" s="191">
        <f t="shared" ca="1" si="4"/>
        <v>0</v>
      </c>
      <c r="G189" s="253" t="e">
        <f t="shared" ca="1" si="7"/>
        <v>#DIV/0!</v>
      </c>
      <c r="H189" s="253" t="e">
        <f ca="1">SUM($G$149:G189)</f>
        <v>#DIV/0!</v>
      </c>
      <c r="I189" s="5"/>
    </row>
    <row r="190" spans="1:9" x14ac:dyDescent="0.25">
      <c r="A190" s="191">
        <v>42</v>
      </c>
      <c r="B190" s="192">
        <f t="shared" si="5"/>
        <v>143392285.94303793</v>
      </c>
      <c r="C190" s="192">
        <f t="shared" si="6"/>
        <v>143392285.94303793</v>
      </c>
      <c r="D190" s="191">
        <f t="shared" ca="1" si="8"/>
        <v>0</v>
      </c>
      <c r="E190" s="191">
        <f t="shared" si="3"/>
        <v>0</v>
      </c>
      <c r="F190" s="191">
        <f t="shared" ca="1" si="4"/>
        <v>0</v>
      </c>
      <c r="G190" s="253" t="e">
        <f t="shared" ca="1" si="7"/>
        <v>#DIV/0!</v>
      </c>
      <c r="H190" s="253" t="e">
        <f ca="1">SUM($G$149:G190)</f>
        <v>#DIV/0!</v>
      </c>
      <c r="I190" s="5"/>
    </row>
    <row r="191" spans="1:9" x14ac:dyDescent="0.25">
      <c r="A191" s="191">
        <v>43</v>
      </c>
      <c r="B191" s="192">
        <f t="shared" si="5"/>
        <v>143392285.94303793</v>
      </c>
      <c r="C191" s="192">
        <f t="shared" si="6"/>
        <v>143392285.94303793</v>
      </c>
      <c r="D191" s="191">
        <f t="shared" ca="1" si="8"/>
        <v>0</v>
      </c>
      <c r="E191" s="191">
        <f t="shared" si="3"/>
        <v>0</v>
      </c>
      <c r="F191" s="191">
        <f t="shared" ca="1" si="4"/>
        <v>0</v>
      </c>
      <c r="G191" s="253" t="e">
        <f t="shared" ca="1" si="7"/>
        <v>#DIV/0!</v>
      </c>
      <c r="H191" s="253" t="e">
        <f ca="1">SUM($G$149:G191)</f>
        <v>#DIV/0!</v>
      </c>
      <c r="I191" s="5"/>
    </row>
    <row r="192" spans="1:9" x14ac:dyDescent="0.25">
      <c r="A192" s="191">
        <v>44</v>
      </c>
      <c r="B192" s="192">
        <f t="shared" si="5"/>
        <v>143392285.94303793</v>
      </c>
      <c r="C192" s="192">
        <f t="shared" si="6"/>
        <v>143392285.94303793</v>
      </c>
      <c r="D192" s="191">
        <f t="shared" ca="1" si="8"/>
        <v>0</v>
      </c>
      <c r="E192" s="191">
        <f t="shared" si="3"/>
        <v>0</v>
      </c>
      <c r="F192" s="191">
        <f t="shared" ca="1" si="4"/>
        <v>0</v>
      </c>
      <c r="G192" s="253" t="e">
        <f t="shared" ca="1" si="7"/>
        <v>#DIV/0!</v>
      </c>
      <c r="H192" s="253" t="e">
        <f ca="1">SUM($G$149:G192)</f>
        <v>#DIV/0!</v>
      </c>
      <c r="I192" s="5"/>
    </row>
    <row r="193" spans="1:9" x14ac:dyDescent="0.25">
      <c r="A193" s="191">
        <v>45</v>
      </c>
      <c r="B193" s="192">
        <f t="shared" si="5"/>
        <v>143392285.94303793</v>
      </c>
      <c r="C193" s="192">
        <f t="shared" si="6"/>
        <v>143392285.94303793</v>
      </c>
      <c r="D193" s="191">
        <f t="shared" ca="1" si="8"/>
        <v>0</v>
      </c>
      <c r="E193" s="191">
        <f t="shared" si="3"/>
        <v>0</v>
      </c>
      <c r="F193" s="191">
        <f t="shared" ca="1" si="4"/>
        <v>0</v>
      </c>
      <c r="G193" s="253" t="e">
        <f t="shared" ca="1" si="7"/>
        <v>#DIV/0!</v>
      </c>
      <c r="H193" s="253" t="e">
        <f ca="1">SUM($G$149:G193)</f>
        <v>#DIV/0!</v>
      </c>
      <c r="I193" s="5"/>
    </row>
    <row r="194" spans="1:9" x14ac:dyDescent="0.25">
      <c r="A194" s="191">
        <v>46</v>
      </c>
      <c r="B194" s="192">
        <f t="shared" si="5"/>
        <v>143392285.94303793</v>
      </c>
      <c r="C194" s="192">
        <f t="shared" si="6"/>
        <v>143392285.94303793</v>
      </c>
      <c r="D194" s="191">
        <f t="shared" ca="1" si="8"/>
        <v>0</v>
      </c>
      <c r="E194" s="191">
        <f t="shared" si="3"/>
        <v>0</v>
      </c>
      <c r="F194" s="191">
        <f t="shared" ca="1" si="4"/>
        <v>0</v>
      </c>
      <c r="G194" s="253" t="e">
        <f t="shared" ca="1" si="7"/>
        <v>#DIV/0!</v>
      </c>
      <c r="H194" s="253" t="e">
        <f ca="1">SUM($G$149:G194)</f>
        <v>#DIV/0!</v>
      </c>
      <c r="I194" s="5"/>
    </row>
    <row r="195" spans="1:9" x14ac:dyDescent="0.25">
      <c r="A195" s="191">
        <v>47</v>
      </c>
      <c r="B195" s="192">
        <f t="shared" si="5"/>
        <v>143392285.94303793</v>
      </c>
      <c r="C195" s="192">
        <f t="shared" si="6"/>
        <v>143392285.94303793</v>
      </c>
      <c r="D195" s="191">
        <f t="shared" ca="1" si="8"/>
        <v>0</v>
      </c>
      <c r="E195" s="191">
        <f t="shared" si="3"/>
        <v>0</v>
      </c>
      <c r="F195" s="191">
        <f t="shared" ca="1" si="4"/>
        <v>0</v>
      </c>
      <c r="G195" s="253" t="e">
        <f t="shared" ca="1" si="7"/>
        <v>#DIV/0!</v>
      </c>
      <c r="H195" s="253" t="e">
        <f ca="1">SUM($G$149:G195)</f>
        <v>#DIV/0!</v>
      </c>
      <c r="I195" s="5"/>
    </row>
    <row r="196" spans="1:9" x14ac:dyDescent="0.25">
      <c r="A196" s="191">
        <v>48</v>
      </c>
      <c r="B196" s="192">
        <f t="shared" si="5"/>
        <v>143392285.94303793</v>
      </c>
      <c r="C196" s="192">
        <f t="shared" si="6"/>
        <v>143392285.94303793</v>
      </c>
      <c r="D196" s="191">
        <f t="shared" ca="1" si="8"/>
        <v>0</v>
      </c>
      <c r="E196" s="191">
        <f t="shared" si="3"/>
        <v>0</v>
      </c>
      <c r="F196" s="191">
        <f t="shared" ca="1" si="4"/>
        <v>0</v>
      </c>
      <c r="G196" s="253" t="e">
        <f t="shared" ca="1" si="7"/>
        <v>#DIV/0!</v>
      </c>
      <c r="H196" s="253" t="e">
        <f ca="1">SUM($G$149:G196)</f>
        <v>#DIV/0!</v>
      </c>
      <c r="I196" s="5"/>
    </row>
    <row r="197" spans="1:9" x14ac:dyDescent="0.25">
      <c r="A197" s="191">
        <v>49</v>
      </c>
      <c r="B197" s="192">
        <f t="shared" si="5"/>
        <v>143392285.94303793</v>
      </c>
      <c r="C197" s="192">
        <f t="shared" si="6"/>
        <v>143392285.94303793</v>
      </c>
      <c r="D197" s="191">
        <f t="shared" ca="1" si="8"/>
        <v>0</v>
      </c>
      <c r="E197" s="191">
        <f t="shared" si="3"/>
        <v>0</v>
      </c>
      <c r="F197" s="191">
        <f t="shared" ca="1" si="4"/>
        <v>0</v>
      </c>
      <c r="G197" s="253" t="e">
        <f t="shared" ca="1" si="7"/>
        <v>#DIV/0!</v>
      </c>
      <c r="H197" s="253" t="e">
        <f ca="1">SUM($G$149:G197)</f>
        <v>#DIV/0!</v>
      </c>
      <c r="I197" s="5"/>
    </row>
    <row r="198" spans="1:9" x14ac:dyDescent="0.25">
      <c r="A198" s="191">
        <v>50</v>
      </c>
      <c r="B198" s="192">
        <f t="shared" si="5"/>
        <v>143392285.94303793</v>
      </c>
      <c r="C198" s="192">
        <f t="shared" si="6"/>
        <v>143392285.94303793</v>
      </c>
      <c r="D198" s="191">
        <f t="shared" ca="1" si="8"/>
        <v>0</v>
      </c>
      <c r="E198" s="191">
        <f t="shared" si="3"/>
        <v>0</v>
      </c>
      <c r="F198" s="191">
        <f t="shared" ca="1" si="4"/>
        <v>0</v>
      </c>
      <c r="G198" s="253" t="e">
        <f t="shared" ca="1" si="7"/>
        <v>#DIV/0!</v>
      </c>
      <c r="H198" s="253" t="e">
        <f ca="1">SUM($G$149:G198)</f>
        <v>#DIV/0!</v>
      </c>
      <c r="I198" s="5"/>
    </row>
    <row r="199" spans="1:9" x14ac:dyDescent="0.25">
      <c r="C199" s="191" t="s">
        <v>163</v>
      </c>
      <c r="D199" s="187">
        <f ca="1">SUM(D149:D198)</f>
        <v>0</v>
      </c>
      <c r="E199" s="187">
        <f ca="1">SUM(E149:E198)</f>
        <v>0</v>
      </c>
      <c r="F199" s="187">
        <f ca="1">SUM(F149:F198)</f>
        <v>0</v>
      </c>
      <c r="G199" s="188" t="e">
        <f ca="1">SUM(G149:G198)</f>
        <v>#DIV/0!</v>
      </c>
    </row>
    <row r="201" spans="1:9" x14ac:dyDescent="0.25">
      <c r="A201" s="191" t="s">
        <v>100</v>
      </c>
      <c r="B201" s="191" t="s">
        <v>159</v>
      </c>
      <c r="C201" s="191" t="s">
        <v>160</v>
      </c>
      <c r="D201" s="191" t="s">
        <v>101</v>
      </c>
      <c r="E201" s="191" t="s">
        <v>103</v>
      </c>
      <c r="F201" s="191" t="s">
        <v>169</v>
      </c>
      <c r="G201" s="191" t="s">
        <v>104</v>
      </c>
      <c r="H201" s="92" t="s">
        <v>105</v>
      </c>
    </row>
    <row r="202" spans="1:9" x14ac:dyDescent="0.25">
      <c r="A202" s="191">
        <v>1</v>
      </c>
      <c r="B202" s="192">
        <f>C140</f>
        <v>133086022.65060356</v>
      </c>
      <c r="C202" s="192">
        <f t="shared" ref="C202:C233" si="9">B202+$C$143</f>
        <v>134244726.76537302</v>
      </c>
      <c r="D202" s="191">
        <f t="shared" ref="D202:D233" si="10">COUNTIFS($C$38:$C$137,CONCATENATE("&gt;=",B202),$C$38:$C$137,CONCATENATE("&lt;",C202))</f>
        <v>1</v>
      </c>
      <c r="E202" s="191">
        <f t="shared" ref="E202:E233" si="11">IF(C202&lt;=$C$145,D202,0)</f>
        <v>1</v>
      </c>
      <c r="F202" s="191">
        <f t="shared" ref="F202:F233" si="12">IF(E202=0,D202,0)</f>
        <v>0</v>
      </c>
      <c r="G202" s="253">
        <f>D202/$D$252</f>
        <v>0.01</v>
      </c>
      <c r="H202" s="253">
        <f>SUM($G$202:G202)</f>
        <v>0.01</v>
      </c>
    </row>
    <row r="203" spans="1:9" x14ac:dyDescent="0.25">
      <c r="A203" s="191">
        <v>2</v>
      </c>
      <c r="B203" s="192">
        <f>C202</f>
        <v>134244726.76537302</v>
      </c>
      <c r="C203" s="192">
        <f t="shared" si="9"/>
        <v>135403430.88014248</v>
      </c>
      <c r="D203" s="191">
        <f t="shared" si="10"/>
        <v>0</v>
      </c>
      <c r="E203" s="191">
        <f t="shared" si="11"/>
        <v>0</v>
      </c>
      <c r="F203" s="191">
        <f t="shared" si="12"/>
        <v>0</v>
      </c>
      <c r="G203" s="253" t="e">
        <f t="shared" ref="G203:G234" ca="1" si="13">D203/$D$199</f>
        <v>#DIV/0!</v>
      </c>
      <c r="H203" s="253" t="e">
        <f ca="1">SUM($G$202:G203)</f>
        <v>#DIV/0!</v>
      </c>
    </row>
    <row r="204" spans="1:9" x14ac:dyDescent="0.25">
      <c r="A204" s="191">
        <v>3</v>
      </c>
      <c r="B204" s="192">
        <f t="shared" ref="B204:B251" si="14">C203</f>
        <v>135403430.88014248</v>
      </c>
      <c r="C204" s="192">
        <f t="shared" si="9"/>
        <v>136562134.99491194</v>
      </c>
      <c r="D204" s="191">
        <f t="shared" si="10"/>
        <v>1</v>
      </c>
      <c r="E204" s="191">
        <f t="shared" si="11"/>
        <v>1</v>
      </c>
      <c r="F204" s="191">
        <f t="shared" si="12"/>
        <v>0</v>
      </c>
      <c r="G204" s="253" t="e">
        <f t="shared" ca="1" si="13"/>
        <v>#DIV/0!</v>
      </c>
      <c r="H204" s="253" t="e">
        <f ca="1">SUM($G$202:G204)</f>
        <v>#DIV/0!</v>
      </c>
    </row>
    <row r="205" spans="1:9" x14ac:dyDescent="0.25">
      <c r="A205" s="191">
        <v>4</v>
      </c>
      <c r="B205" s="192">
        <f t="shared" si="14"/>
        <v>136562134.99491194</v>
      </c>
      <c r="C205" s="192">
        <f t="shared" si="9"/>
        <v>137720839.1096814</v>
      </c>
      <c r="D205" s="191">
        <f t="shared" si="10"/>
        <v>4</v>
      </c>
      <c r="E205" s="191">
        <f t="shared" si="11"/>
        <v>4</v>
      </c>
      <c r="F205" s="191">
        <f t="shared" si="12"/>
        <v>0</v>
      </c>
      <c r="G205" s="253" t="e">
        <f t="shared" ca="1" si="13"/>
        <v>#DIV/0!</v>
      </c>
      <c r="H205" s="253" t="e">
        <f ca="1">SUM($G$202:G205)</f>
        <v>#DIV/0!</v>
      </c>
    </row>
    <row r="206" spans="1:9" x14ac:dyDescent="0.25">
      <c r="A206" s="191">
        <v>5</v>
      </c>
      <c r="B206" s="192">
        <f t="shared" si="14"/>
        <v>137720839.1096814</v>
      </c>
      <c r="C206" s="192">
        <f t="shared" si="9"/>
        <v>138879543.22445086</v>
      </c>
      <c r="D206" s="191">
        <f t="shared" si="10"/>
        <v>1</v>
      </c>
      <c r="E206" s="191">
        <f t="shared" si="11"/>
        <v>1</v>
      </c>
      <c r="F206" s="191">
        <f t="shared" si="12"/>
        <v>0</v>
      </c>
      <c r="G206" s="253" t="e">
        <f t="shared" ca="1" si="13"/>
        <v>#DIV/0!</v>
      </c>
      <c r="H206" s="253" t="e">
        <f ca="1">SUM($G$202:G206)</f>
        <v>#DIV/0!</v>
      </c>
    </row>
    <row r="207" spans="1:9" x14ac:dyDescent="0.25">
      <c r="A207" s="191">
        <v>6</v>
      </c>
      <c r="B207" s="192">
        <f t="shared" si="14"/>
        <v>138879543.22445086</v>
      </c>
      <c r="C207" s="192">
        <f t="shared" si="9"/>
        <v>140038247.33922032</v>
      </c>
      <c r="D207" s="191">
        <f t="shared" si="10"/>
        <v>0</v>
      </c>
      <c r="E207" s="191">
        <f t="shared" si="11"/>
        <v>0</v>
      </c>
      <c r="F207" s="191">
        <f t="shared" si="12"/>
        <v>0</v>
      </c>
      <c r="G207" s="253" t="e">
        <f t="shared" ca="1" si="13"/>
        <v>#DIV/0!</v>
      </c>
      <c r="H207" s="253" t="e">
        <f ca="1">SUM($G$202:G207)</f>
        <v>#DIV/0!</v>
      </c>
    </row>
    <row r="208" spans="1:9" x14ac:dyDescent="0.25">
      <c r="A208" s="191">
        <v>7</v>
      </c>
      <c r="B208" s="192">
        <f t="shared" si="14"/>
        <v>140038247.33922032</v>
      </c>
      <c r="C208" s="192">
        <f t="shared" si="9"/>
        <v>141196951.45398977</v>
      </c>
      <c r="D208" s="191">
        <f t="shared" si="10"/>
        <v>3</v>
      </c>
      <c r="E208" s="191">
        <f t="shared" si="11"/>
        <v>3</v>
      </c>
      <c r="F208" s="191">
        <f t="shared" si="12"/>
        <v>0</v>
      </c>
      <c r="G208" s="253" t="e">
        <f t="shared" ca="1" si="13"/>
        <v>#DIV/0!</v>
      </c>
      <c r="H208" s="253" t="e">
        <f ca="1">SUM($G$202:G208)</f>
        <v>#DIV/0!</v>
      </c>
    </row>
    <row r="209" spans="1:8" x14ac:dyDescent="0.25">
      <c r="A209" s="191">
        <v>8</v>
      </c>
      <c r="B209" s="192">
        <f t="shared" si="14"/>
        <v>141196951.45398977</v>
      </c>
      <c r="C209" s="192">
        <f t="shared" si="9"/>
        <v>142355655.56875923</v>
      </c>
      <c r="D209" s="191">
        <f t="shared" si="10"/>
        <v>1</v>
      </c>
      <c r="E209" s="191">
        <f t="shared" si="11"/>
        <v>1</v>
      </c>
      <c r="F209" s="191">
        <f t="shared" si="12"/>
        <v>0</v>
      </c>
      <c r="G209" s="253" t="e">
        <f t="shared" ca="1" si="13"/>
        <v>#DIV/0!</v>
      </c>
      <c r="H209" s="253" t="e">
        <f ca="1">SUM($G$202:G209)</f>
        <v>#DIV/0!</v>
      </c>
    </row>
    <row r="210" spans="1:8" x14ac:dyDescent="0.25">
      <c r="A210" s="191">
        <v>9</v>
      </c>
      <c r="B210" s="192">
        <f t="shared" si="14"/>
        <v>142355655.56875923</v>
      </c>
      <c r="C210" s="192">
        <f t="shared" si="9"/>
        <v>143514359.68352869</v>
      </c>
      <c r="D210" s="191">
        <f t="shared" si="10"/>
        <v>1</v>
      </c>
      <c r="E210" s="191">
        <f t="shared" si="11"/>
        <v>0</v>
      </c>
      <c r="F210" s="191">
        <f t="shared" si="12"/>
        <v>1</v>
      </c>
      <c r="G210" s="253" t="e">
        <f t="shared" ca="1" si="13"/>
        <v>#DIV/0!</v>
      </c>
      <c r="H210" s="253" t="e">
        <f ca="1">SUM($G$202:G210)</f>
        <v>#DIV/0!</v>
      </c>
    </row>
    <row r="211" spans="1:8" x14ac:dyDescent="0.25">
      <c r="A211" s="191">
        <v>10</v>
      </c>
      <c r="B211" s="192">
        <f t="shared" si="14"/>
        <v>143514359.68352869</v>
      </c>
      <c r="C211" s="192">
        <f t="shared" si="9"/>
        <v>144673063.79829815</v>
      </c>
      <c r="D211" s="191">
        <f t="shared" si="10"/>
        <v>0</v>
      </c>
      <c r="E211" s="191">
        <f t="shared" si="11"/>
        <v>0</v>
      </c>
      <c r="F211" s="191">
        <f t="shared" si="12"/>
        <v>0</v>
      </c>
      <c r="G211" s="253" t="e">
        <f t="shared" ca="1" si="13"/>
        <v>#DIV/0!</v>
      </c>
      <c r="H211" s="253" t="e">
        <f ca="1">SUM($G$202:G211)</f>
        <v>#DIV/0!</v>
      </c>
    </row>
    <row r="212" spans="1:8" x14ac:dyDescent="0.25">
      <c r="A212" s="191">
        <v>11</v>
      </c>
      <c r="B212" s="192">
        <f t="shared" si="14"/>
        <v>144673063.79829815</v>
      </c>
      <c r="C212" s="192">
        <f t="shared" si="9"/>
        <v>145831767.91306761</v>
      </c>
      <c r="D212" s="191">
        <f t="shared" si="10"/>
        <v>3</v>
      </c>
      <c r="E212" s="191">
        <f t="shared" si="11"/>
        <v>0</v>
      </c>
      <c r="F212" s="191">
        <f t="shared" si="12"/>
        <v>3</v>
      </c>
      <c r="G212" s="253" t="e">
        <f t="shared" ca="1" si="13"/>
        <v>#DIV/0!</v>
      </c>
      <c r="H212" s="253" t="e">
        <f ca="1">SUM($G$202:G212)</f>
        <v>#DIV/0!</v>
      </c>
    </row>
    <row r="213" spans="1:8" x14ac:dyDescent="0.25">
      <c r="A213" s="191">
        <v>12</v>
      </c>
      <c r="B213" s="192">
        <f t="shared" si="14"/>
        <v>145831767.91306761</v>
      </c>
      <c r="C213" s="192">
        <f t="shared" si="9"/>
        <v>146990472.02783707</v>
      </c>
      <c r="D213" s="191">
        <f t="shared" si="10"/>
        <v>0</v>
      </c>
      <c r="E213" s="191">
        <f t="shared" si="11"/>
        <v>0</v>
      </c>
      <c r="F213" s="191">
        <f t="shared" si="12"/>
        <v>0</v>
      </c>
      <c r="G213" s="253" t="e">
        <f t="shared" ca="1" si="13"/>
        <v>#DIV/0!</v>
      </c>
      <c r="H213" s="253" t="e">
        <f ca="1">SUM($G$202:G213)</f>
        <v>#DIV/0!</v>
      </c>
    </row>
    <row r="214" spans="1:8" x14ac:dyDescent="0.25">
      <c r="A214" s="191">
        <v>13</v>
      </c>
      <c r="B214" s="192">
        <f t="shared" si="14"/>
        <v>146990472.02783707</v>
      </c>
      <c r="C214" s="192">
        <f t="shared" si="9"/>
        <v>148149176.14260653</v>
      </c>
      <c r="D214" s="191">
        <f t="shared" si="10"/>
        <v>2</v>
      </c>
      <c r="E214" s="191">
        <f t="shared" si="11"/>
        <v>0</v>
      </c>
      <c r="F214" s="191">
        <f t="shared" si="12"/>
        <v>2</v>
      </c>
      <c r="G214" s="253" t="e">
        <f t="shared" ca="1" si="13"/>
        <v>#DIV/0!</v>
      </c>
      <c r="H214" s="253" t="e">
        <f ca="1">SUM($G$202:G214)</f>
        <v>#DIV/0!</v>
      </c>
    </row>
    <row r="215" spans="1:8" x14ac:dyDescent="0.25">
      <c r="A215" s="191">
        <v>14</v>
      </c>
      <c r="B215" s="192">
        <f t="shared" si="14"/>
        <v>148149176.14260653</v>
      </c>
      <c r="C215" s="192">
        <f t="shared" si="9"/>
        <v>149307880.25737599</v>
      </c>
      <c r="D215" s="191">
        <f t="shared" si="10"/>
        <v>4</v>
      </c>
      <c r="E215" s="191">
        <f t="shared" si="11"/>
        <v>0</v>
      </c>
      <c r="F215" s="191">
        <f t="shared" si="12"/>
        <v>4</v>
      </c>
      <c r="G215" s="253" t="e">
        <f t="shared" ca="1" si="13"/>
        <v>#DIV/0!</v>
      </c>
      <c r="H215" s="253" t="e">
        <f ca="1">SUM($G$202:G215)</f>
        <v>#DIV/0!</v>
      </c>
    </row>
    <row r="216" spans="1:8" x14ac:dyDescent="0.25">
      <c r="A216" s="191">
        <v>15</v>
      </c>
      <c r="B216" s="192">
        <f t="shared" si="14"/>
        <v>149307880.25737599</v>
      </c>
      <c r="C216" s="192">
        <f t="shared" si="9"/>
        <v>150466584.37214544</v>
      </c>
      <c r="D216" s="191">
        <f t="shared" si="10"/>
        <v>2</v>
      </c>
      <c r="E216" s="191">
        <f t="shared" si="11"/>
        <v>0</v>
      </c>
      <c r="F216" s="191">
        <f t="shared" si="12"/>
        <v>2</v>
      </c>
      <c r="G216" s="253" t="e">
        <f t="shared" ca="1" si="13"/>
        <v>#DIV/0!</v>
      </c>
      <c r="H216" s="253" t="e">
        <f ca="1">SUM($G$202:G216)</f>
        <v>#DIV/0!</v>
      </c>
    </row>
    <row r="217" spans="1:8" x14ac:dyDescent="0.25">
      <c r="A217" s="191">
        <v>16</v>
      </c>
      <c r="B217" s="192">
        <f t="shared" si="14"/>
        <v>150466584.37214544</v>
      </c>
      <c r="C217" s="192">
        <f t="shared" si="9"/>
        <v>151625288.4869149</v>
      </c>
      <c r="D217" s="191">
        <f t="shared" si="10"/>
        <v>5</v>
      </c>
      <c r="E217" s="191">
        <f t="shared" si="11"/>
        <v>0</v>
      </c>
      <c r="F217" s="191">
        <f t="shared" si="12"/>
        <v>5</v>
      </c>
      <c r="G217" s="253" t="e">
        <f t="shared" ca="1" si="13"/>
        <v>#DIV/0!</v>
      </c>
      <c r="H217" s="253" t="e">
        <f ca="1">SUM($G$202:G217)</f>
        <v>#DIV/0!</v>
      </c>
    </row>
    <row r="218" spans="1:8" x14ac:dyDescent="0.25">
      <c r="A218" s="191">
        <v>17</v>
      </c>
      <c r="B218" s="192">
        <f t="shared" si="14"/>
        <v>151625288.4869149</v>
      </c>
      <c r="C218" s="192">
        <f t="shared" si="9"/>
        <v>152783992.60168436</v>
      </c>
      <c r="D218" s="191">
        <f t="shared" si="10"/>
        <v>5</v>
      </c>
      <c r="E218" s="191">
        <f t="shared" si="11"/>
        <v>0</v>
      </c>
      <c r="F218" s="191">
        <f t="shared" si="12"/>
        <v>5</v>
      </c>
      <c r="G218" s="253" t="e">
        <f t="shared" ca="1" si="13"/>
        <v>#DIV/0!</v>
      </c>
      <c r="H218" s="253" t="e">
        <f ca="1">SUM($G$202:G218)</f>
        <v>#DIV/0!</v>
      </c>
    </row>
    <row r="219" spans="1:8" x14ac:dyDescent="0.25">
      <c r="A219" s="191">
        <v>18</v>
      </c>
      <c r="B219" s="192">
        <f t="shared" si="14"/>
        <v>152783992.60168436</v>
      </c>
      <c r="C219" s="192">
        <f t="shared" si="9"/>
        <v>153942696.71645382</v>
      </c>
      <c r="D219" s="191">
        <f t="shared" si="10"/>
        <v>5</v>
      </c>
      <c r="E219" s="191">
        <f t="shared" si="11"/>
        <v>0</v>
      </c>
      <c r="F219" s="191">
        <f t="shared" si="12"/>
        <v>5</v>
      </c>
      <c r="G219" s="253" t="e">
        <f t="shared" ca="1" si="13"/>
        <v>#DIV/0!</v>
      </c>
      <c r="H219" s="253" t="e">
        <f ca="1">SUM($G$202:G219)</f>
        <v>#DIV/0!</v>
      </c>
    </row>
    <row r="220" spans="1:8" x14ac:dyDescent="0.25">
      <c r="A220" s="191">
        <v>19</v>
      </c>
      <c r="B220" s="192">
        <f t="shared" si="14"/>
        <v>153942696.71645382</v>
      </c>
      <c r="C220" s="192">
        <f t="shared" si="9"/>
        <v>155101400.83122328</v>
      </c>
      <c r="D220" s="191">
        <f t="shared" si="10"/>
        <v>4</v>
      </c>
      <c r="E220" s="191">
        <f t="shared" si="11"/>
        <v>0</v>
      </c>
      <c r="F220" s="191">
        <f t="shared" si="12"/>
        <v>4</v>
      </c>
      <c r="G220" s="253" t="e">
        <f t="shared" ca="1" si="13"/>
        <v>#DIV/0!</v>
      </c>
      <c r="H220" s="253" t="e">
        <f ca="1">SUM($G$202:G220)</f>
        <v>#DIV/0!</v>
      </c>
    </row>
    <row r="221" spans="1:8" x14ac:dyDescent="0.25">
      <c r="A221" s="191">
        <v>20</v>
      </c>
      <c r="B221" s="192">
        <f t="shared" si="14"/>
        <v>155101400.83122328</v>
      </c>
      <c r="C221" s="192">
        <f t="shared" si="9"/>
        <v>156260104.94599274</v>
      </c>
      <c r="D221" s="191">
        <f t="shared" si="10"/>
        <v>5</v>
      </c>
      <c r="E221" s="191">
        <f t="shared" si="11"/>
        <v>0</v>
      </c>
      <c r="F221" s="191">
        <f t="shared" si="12"/>
        <v>5</v>
      </c>
      <c r="G221" s="253" t="e">
        <f t="shared" ca="1" si="13"/>
        <v>#DIV/0!</v>
      </c>
      <c r="H221" s="253" t="e">
        <f ca="1">SUM($G$202:G221)</f>
        <v>#DIV/0!</v>
      </c>
    </row>
    <row r="222" spans="1:8" x14ac:dyDescent="0.25">
      <c r="A222" s="191">
        <v>21</v>
      </c>
      <c r="B222" s="192">
        <f t="shared" si="14"/>
        <v>156260104.94599274</v>
      </c>
      <c r="C222" s="192">
        <f t="shared" si="9"/>
        <v>157418809.0607622</v>
      </c>
      <c r="D222" s="191">
        <f t="shared" si="10"/>
        <v>4</v>
      </c>
      <c r="E222" s="191">
        <f t="shared" si="11"/>
        <v>0</v>
      </c>
      <c r="F222" s="191">
        <f t="shared" si="12"/>
        <v>4</v>
      </c>
      <c r="G222" s="253" t="e">
        <f t="shared" ca="1" si="13"/>
        <v>#DIV/0!</v>
      </c>
      <c r="H222" s="253" t="e">
        <f ca="1">SUM($G$202:G222)</f>
        <v>#DIV/0!</v>
      </c>
    </row>
    <row r="223" spans="1:8" x14ac:dyDescent="0.25">
      <c r="A223" s="191">
        <v>22</v>
      </c>
      <c r="B223" s="192">
        <f t="shared" si="14"/>
        <v>157418809.0607622</v>
      </c>
      <c r="C223" s="192">
        <f t="shared" si="9"/>
        <v>158577513.17553166</v>
      </c>
      <c r="D223" s="191">
        <f t="shared" si="10"/>
        <v>3</v>
      </c>
      <c r="E223" s="191">
        <f t="shared" si="11"/>
        <v>0</v>
      </c>
      <c r="F223" s="191">
        <f t="shared" si="12"/>
        <v>3</v>
      </c>
      <c r="G223" s="253" t="e">
        <f t="shared" ca="1" si="13"/>
        <v>#DIV/0!</v>
      </c>
      <c r="H223" s="253" t="e">
        <f ca="1">SUM($G$202:G223)</f>
        <v>#DIV/0!</v>
      </c>
    </row>
    <row r="224" spans="1:8" x14ac:dyDescent="0.25">
      <c r="A224" s="191">
        <v>23</v>
      </c>
      <c r="B224" s="192">
        <f t="shared" si="14"/>
        <v>158577513.17553166</v>
      </c>
      <c r="C224" s="192">
        <f t="shared" si="9"/>
        <v>159736217.29030111</v>
      </c>
      <c r="D224" s="191">
        <f t="shared" si="10"/>
        <v>4</v>
      </c>
      <c r="E224" s="191">
        <f t="shared" si="11"/>
        <v>0</v>
      </c>
      <c r="F224" s="191">
        <f t="shared" si="12"/>
        <v>4</v>
      </c>
      <c r="G224" s="253" t="e">
        <f t="shared" ca="1" si="13"/>
        <v>#DIV/0!</v>
      </c>
      <c r="H224" s="253" t="e">
        <f ca="1">SUM($G$202:G224)</f>
        <v>#DIV/0!</v>
      </c>
    </row>
    <row r="225" spans="1:8" x14ac:dyDescent="0.25">
      <c r="A225" s="191">
        <v>24</v>
      </c>
      <c r="B225" s="192">
        <f t="shared" si="14"/>
        <v>159736217.29030111</v>
      </c>
      <c r="C225" s="192">
        <f t="shared" si="9"/>
        <v>160894921.40507057</v>
      </c>
      <c r="D225" s="191">
        <f t="shared" si="10"/>
        <v>5</v>
      </c>
      <c r="E225" s="191">
        <f t="shared" si="11"/>
        <v>0</v>
      </c>
      <c r="F225" s="191">
        <f t="shared" si="12"/>
        <v>5</v>
      </c>
      <c r="G225" s="253" t="e">
        <f t="shared" ca="1" si="13"/>
        <v>#DIV/0!</v>
      </c>
      <c r="H225" s="253" t="e">
        <f ca="1">SUM($G$202:G225)</f>
        <v>#DIV/0!</v>
      </c>
    </row>
    <row r="226" spans="1:8" x14ac:dyDescent="0.25">
      <c r="A226" s="191">
        <v>25</v>
      </c>
      <c r="B226" s="192">
        <f t="shared" si="14"/>
        <v>160894921.40507057</v>
      </c>
      <c r="C226" s="192">
        <f t="shared" si="9"/>
        <v>162053625.51984003</v>
      </c>
      <c r="D226" s="191">
        <f t="shared" si="10"/>
        <v>3</v>
      </c>
      <c r="E226" s="191">
        <f t="shared" si="11"/>
        <v>0</v>
      </c>
      <c r="F226" s="191">
        <f t="shared" si="12"/>
        <v>3</v>
      </c>
      <c r="G226" s="253" t="e">
        <f t="shared" ca="1" si="13"/>
        <v>#DIV/0!</v>
      </c>
      <c r="H226" s="253" t="e">
        <f ca="1">SUM($G$202:G226)</f>
        <v>#DIV/0!</v>
      </c>
    </row>
    <row r="227" spans="1:8" x14ac:dyDescent="0.25">
      <c r="A227" s="191">
        <v>26</v>
      </c>
      <c r="B227" s="192">
        <f t="shared" si="14"/>
        <v>162053625.51984003</v>
      </c>
      <c r="C227" s="192">
        <f t="shared" si="9"/>
        <v>163212329.63460949</v>
      </c>
      <c r="D227" s="191">
        <f t="shared" si="10"/>
        <v>4</v>
      </c>
      <c r="E227" s="191">
        <f t="shared" si="11"/>
        <v>0</v>
      </c>
      <c r="F227" s="191">
        <f t="shared" si="12"/>
        <v>4</v>
      </c>
      <c r="G227" s="253" t="e">
        <f t="shared" ca="1" si="13"/>
        <v>#DIV/0!</v>
      </c>
      <c r="H227" s="253" t="e">
        <f ca="1">SUM($G$202:G227)</f>
        <v>#DIV/0!</v>
      </c>
    </row>
    <row r="228" spans="1:8" x14ac:dyDescent="0.25">
      <c r="A228" s="191">
        <v>27</v>
      </c>
      <c r="B228" s="192">
        <f t="shared" si="14"/>
        <v>163212329.63460949</v>
      </c>
      <c r="C228" s="192">
        <f t="shared" si="9"/>
        <v>164371033.74937895</v>
      </c>
      <c r="D228" s="191">
        <f t="shared" si="10"/>
        <v>3</v>
      </c>
      <c r="E228" s="191">
        <f t="shared" si="11"/>
        <v>0</v>
      </c>
      <c r="F228" s="191">
        <f t="shared" si="12"/>
        <v>3</v>
      </c>
      <c r="G228" s="253" t="e">
        <f t="shared" ca="1" si="13"/>
        <v>#DIV/0!</v>
      </c>
      <c r="H228" s="253" t="e">
        <f ca="1">SUM($G$202:G228)</f>
        <v>#DIV/0!</v>
      </c>
    </row>
    <row r="229" spans="1:8" x14ac:dyDescent="0.25">
      <c r="A229" s="191">
        <v>28</v>
      </c>
      <c r="B229" s="192">
        <f t="shared" si="14"/>
        <v>164371033.74937895</v>
      </c>
      <c r="C229" s="192">
        <f t="shared" si="9"/>
        <v>165529737.86414841</v>
      </c>
      <c r="D229" s="191">
        <f t="shared" si="10"/>
        <v>2</v>
      </c>
      <c r="E229" s="191">
        <f t="shared" si="11"/>
        <v>0</v>
      </c>
      <c r="F229" s="191">
        <f t="shared" si="12"/>
        <v>2</v>
      </c>
      <c r="G229" s="253" t="e">
        <f t="shared" ca="1" si="13"/>
        <v>#DIV/0!</v>
      </c>
      <c r="H229" s="253" t="e">
        <f ca="1">SUM($G$202:G229)</f>
        <v>#DIV/0!</v>
      </c>
    </row>
    <row r="230" spans="1:8" x14ac:dyDescent="0.25">
      <c r="A230" s="191">
        <v>29</v>
      </c>
      <c r="B230" s="192">
        <f t="shared" si="14"/>
        <v>165529737.86414841</v>
      </c>
      <c r="C230" s="192">
        <f t="shared" si="9"/>
        <v>166688441.97891787</v>
      </c>
      <c r="D230" s="191">
        <f t="shared" si="10"/>
        <v>0</v>
      </c>
      <c r="E230" s="191">
        <f t="shared" si="11"/>
        <v>0</v>
      </c>
      <c r="F230" s="191">
        <f t="shared" si="12"/>
        <v>0</v>
      </c>
      <c r="G230" s="253" t="e">
        <f t="shared" ca="1" si="13"/>
        <v>#DIV/0!</v>
      </c>
      <c r="H230" s="253" t="e">
        <f ca="1">SUM($G$202:G230)</f>
        <v>#DIV/0!</v>
      </c>
    </row>
    <row r="231" spans="1:8" x14ac:dyDescent="0.25">
      <c r="A231" s="191">
        <v>30</v>
      </c>
      <c r="B231" s="192">
        <f t="shared" si="14"/>
        <v>166688441.97891787</v>
      </c>
      <c r="C231" s="192">
        <f t="shared" si="9"/>
        <v>167847146.09368733</v>
      </c>
      <c r="D231" s="191">
        <f t="shared" si="10"/>
        <v>4</v>
      </c>
      <c r="E231" s="191">
        <f t="shared" si="11"/>
        <v>0</v>
      </c>
      <c r="F231" s="191">
        <f t="shared" si="12"/>
        <v>4</v>
      </c>
      <c r="G231" s="253" t="e">
        <f t="shared" ca="1" si="13"/>
        <v>#DIV/0!</v>
      </c>
      <c r="H231" s="253" t="e">
        <f ca="1">SUM($G$202:G231)</f>
        <v>#DIV/0!</v>
      </c>
    </row>
    <row r="232" spans="1:8" x14ac:dyDescent="0.25">
      <c r="A232" s="191">
        <v>31</v>
      </c>
      <c r="B232" s="192">
        <f t="shared" si="14"/>
        <v>167847146.09368733</v>
      </c>
      <c r="C232" s="192">
        <f t="shared" si="9"/>
        <v>169005850.20845678</v>
      </c>
      <c r="D232" s="191">
        <f t="shared" si="10"/>
        <v>1</v>
      </c>
      <c r="E232" s="191">
        <f t="shared" si="11"/>
        <v>0</v>
      </c>
      <c r="F232" s="191">
        <f t="shared" si="12"/>
        <v>1</v>
      </c>
      <c r="G232" s="253" t="e">
        <f t="shared" ca="1" si="13"/>
        <v>#DIV/0!</v>
      </c>
      <c r="H232" s="253" t="e">
        <f ca="1">SUM($G$202:G232)</f>
        <v>#DIV/0!</v>
      </c>
    </row>
    <row r="233" spans="1:8" x14ac:dyDescent="0.25">
      <c r="A233" s="191">
        <v>32</v>
      </c>
      <c r="B233" s="192">
        <f t="shared" si="14"/>
        <v>169005850.20845678</v>
      </c>
      <c r="C233" s="192">
        <f t="shared" si="9"/>
        <v>170164554.32322624</v>
      </c>
      <c r="D233" s="191">
        <f t="shared" si="10"/>
        <v>3</v>
      </c>
      <c r="E233" s="191">
        <f t="shared" si="11"/>
        <v>0</v>
      </c>
      <c r="F233" s="191">
        <f t="shared" si="12"/>
        <v>3</v>
      </c>
      <c r="G233" s="253" t="e">
        <f t="shared" ca="1" si="13"/>
        <v>#DIV/0!</v>
      </c>
      <c r="H233" s="253" t="e">
        <f ca="1">SUM($G$202:G233)</f>
        <v>#DIV/0!</v>
      </c>
    </row>
    <row r="234" spans="1:8" x14ac:dyDescent="0.25">
      <c r="A234" s="191">
        <v>33</v>
      </c>
      <c r="B234" s="192">
        <f t="shared" si="14"/>
        <v>170164554.32322624</v>
      </c>
      <c r="C234" s="192">
        <f t="shared" ref="C234:C251" si="15">B234+$C$143</f>
        <v>171323258.4379957</v>
      </c>
      <c r="D234" s="191">
        <f t="shared" ref="D234:D251" si="16">COUNTIFS($C$38:$C$137,CONCATENATE("&gt;=",B234),$C$38:$C$137,CONCATENATE("&lt;",C234))</f>
        <v>2</v>
      </c>
      <c r="E234" s="191">
        <f t="shared" ref="E234:E251" si="17">IF(C234&lt;=$C$145,D234,0)</f>
        <v>0</v>
      </c>
      <c r="F234" s="191">
        <f t="shared" ref="F234:F251" si="18">IF(E234=0,D234,0)</f>
        <v>2</v>
      </c>
      <c r="G234" s="253" t="e">
        <f t="shared" ca="1" si="13"/>
        <v>#DIV/0!</v>
      </c>
      <c r="H234" s="253" t="e">
        <f ca="1">SUM($G$202:G234)</f>
        <v>#DIV/0!</v>
      </c>
    </row>
    <row r="235" spans="1:8" x14ac:dyDescent="0.25">
      <c r="A235" s="191">
        <v>34</v>
      </c>
      <c r="B235" s="192">
        <f t="shared" si="14"/>
        <v>171323258.4379957</v>
      </c>
      <c r="C235" s="192">
        <f t="shared" si="15"/>
        <v>172481962.55276516</v>
      </c>
      <c r="D235" s="191">
        <f t="shared" si="16"/>
        <v>2</v>
      </c>
      <c r="E235" s="191">
        <f t="shared" si="17"/>
        <v>0</v>
      </c>
      <c r="F235" s="191">
        <f t="shared" si="18"/>
        <v>2</v>
      </c>
      <c r="G235" s="253" t="e">
        <f t="shared" ref="G235:G251" ca="1" si="19">D235/$D$199</f>
        <v>#DIV/0!</v>
      </c>
      <c r="H235" s="253" t="e">
        <f ca="1">SUM($G$202:G235)</f>
        <v>#DIV/0!</v>
      </c>
    </row>
    <row r="236" spans="1:8" x14ac:dyDescent="0.25">
      <c r="A236" s="191">
        <v>35</v>
      </c>
      <c r="B236" s="192">
        <f t="shared" si="14"/>
        <v>172481962.55276516</v>
      </c>
      <c r="C236" s="192">
        <f t="shared" si="15"/>
        <v>173640666.66753462</v>
      </c>
      <c r="D236" s="191">
        <f t="shared" si="16"/>
        <v>3</v>
      </c>
      <c r="E236" s="191">
        <f t="shared" si="17"/>
        <v>0</v>
      </c>
      <c r="F236" s="191">
        <f t="shared" si="18"/>
        <v>3</v>
      </c>
      <c r="G236" s="253" t="e">
        <f t="shared" ca="1" si="19"/>
        <v>#DIV/0!</v>
      </c>
      <c r="H236" s="253" t="e">
        <f ca="1">SUM($G$202:G236)</f>
        <v>#DIV/0!</v>
      </c>
    </row>
    <row r="237" spans="1:8" x14ac:dyDescent="0.25">
      <c r="A237" s="191">
        <v>36</v>
      </c>
      <c r="B237" s="192">
        <f t="shared" si="14"/>
        <v>173640666.66753462</v>
      </c>
      <c r="C237" s="192">
        <f t="shared" si="15"/>
        <v>174799370.78230408</v>
      </c>
      <c r="D237" s="191">
        <f t="shared" si="16"/>
        <v>2</v>
      </c>
      <c r="E237" s="191">
        <f t="shared" si="17"/>
        <v>0</v>
      </c>
      <c r="F237" s="191">
        <f t="shared" si="18"/>
        <v>2</v>
      </c>
      <c r="G237" s="253" t="e">
        <f t="shared" ca="1" si="19"/>
        <v>#DIV/0!</v>
      </c>
      <c r="H237" s="253" t="e">
        <f ca="1">SUM($G$202:G237)</f>
        <v>#DIV/0!</v>
      </c>
    </row>
    <row r="238" spans="1:8" x14ac:dyDescent="0.25">
      <c r="A238" s="191">
        <v>37</v>
      </c>
      <c r="B238" s="192">
        <f t="shared" si="14"/>
        <v>174799370.78230408</v>
      </c>
      <c r="C238" s="192">
        <f t="shared" si="15"/>
        <v>175958074.89707354</v>
      </c>
      <c r="D238" s="191">
        <f t="shared" si="16"/>
        <v>2</v>
      </c>
      <c r="E238" s="191">
        <f t="shared" si="17"/>
        <v>0</v>
      </c>
      <c r="F238" s="191">
        <f t="shared" si="18"/>
        <v>2</v>
      </c>
      <c r="G238" s="253" t="e">
        <f t="shared" ca="1" si="19"/>
        <v>#DIV/0!</v>
      </c>
      <c r="H238" s="253" t="e">
        <f ca="1">SUM($G$202:G238)</f>
        <v>#DIV/0!</v>
      </c>
    </row>
    <row r="239" spans="1:8" x14ac:dyDescent="0.25">
      <c r="A239" s="191">
        <v>38</v>
      </c>
      <c r="B239" s="192">
        <f t="shared" si="14"/>
        <v>175958074.89707354</v>
      </c>
      <c r="C239" s="192">
        <f t="shared" si="15"/>
        <v>177116779.011843</v>
      </c>
      <c r="D239" s="191">
        <f t="shared" si="16"/>
        <v>1</v>
      </c>
      <c r="E239" s="191">
        <f t="shared" si="17"/>
        <v>0</v>
      </c>
      <c r="F239" s="191">
        <f t="shared" si="18"/>
        <v>1</v>
      </c>
      <c r="G239" s="253" t="e">
        <f t="shared" ca="1" si="19"/>
        <v>#DIV/0!</v>
      </c>
      <c r="H239" s="253" t="e">
        <f ca="1">SUM($G$202:G239)</f>
        <v>#DIV/0!</v>
      </c>
    </row>
    <row r="240" spans="1:8" x14ac:dyDescent="0.25">
      <c r="A240" s="191">
        <v>39</v>
      </c>
      <c r="B240" s="192">
        <f t="shared" si="14"/>
        <v>177116779.011843</v>
      </c>
      <c r="C240" s="192">
        <f t="shared" si="15"/>
        <v>178275483.12661245</v>
      </c>
      <c r="D240" s="191">
        <f t="shared" si="16"/>
        <v>1</v>
      </c>
      <c r="E240" s="191">
        <f t="shared" si="17"/>
        <v>0</v>
      </c>
      <c r="F240" s="191">
        <f t="shared" si="18"/>
        <v>1</v>
      </c>
      <c r="G240" s="253" t="e">
        <f t="shared" ca="1" si="19"/>
        <v>#DIV/0!</v>
      </c>
      <c r="H240" s="253" t="e">
        <f ca="1">SUM($G$202:G240)</f>
        <v>#DIV/0!</v>
      </c>
    </row>
    <row r="241" spans="1:8" x14ac:dyDescent="0.25">
      <c r="A241" s="191">
        <v>40</v>
      </c>
      <c r="B241" s="192">
        <f t="shared" si="14"/>
        <v>178275483.12661245</v>
      </c>
      <c r="C241" s="192">
        <f t="shared" si="15"/>
        <v>179434187.24138191</v>
      </c>
      <c r="D241" s="191">
        <f t="shared" si="16"/>
        <v>1</v>
      </c>
      <c r="E241" s="191">
        <f t="shared" si="17"/>
        <v>0</v>
      </c>
      <c r="F241" s="191">
        <f t="shared" si="18"/>
        <v>1</v>
      </c>
      <c r="G241" s="253" t="e">
        <f t="shared" ca="1" si="19"/>
        <v>#DIV/0!</v>
      </c>
      <c r="H241" s="253" t="e">
        <f ca="1">SUM($G$202:G241)</f>
        <v>#DIV/0!</v>
      </c>
    </row>
    <row r="242" spans="1:8" x14ac:dyDescent="0.25">
      <c r="A242" s="191">
        <v>41</v>
      </c>
      <c r="B242" s="192">
        <f t="shared" si="14"/>
        <v>179434187.24138191</v>
      </c>
      <c r="C242" s="192">
        <f t="shared" si="15"/>
        <v>180592891.35615137</v>
      </c>
      <c r="D242" s="191">
        <f t="shared" si="16"/>
        <v>1</v>
      </c>
      <c r="E242" s="191">
        <f t="shared" si="17"/>
        <v>0</v>
      </c>
      <c r="F242" s="191">
        <f t="shared" si="18"/>
        <v>1</v>
      </c>
      <c r="G242" s="253" t="e">
        <f t="shared" ca="1" si="19"/>
        <v>#DIV/0!</v>
      </c>
      <c r="H242" s="253" t="e">
        <f ca="1">SUM($G$202:G242)</f>
        <v>#DIV/0!</v>
      </c>
    </row>
    <row r="243" spans="1:8" x14ac:dyDescent="0.25">
      <c r="A243" s="191">
        <v>42</v>
      </c>
      <c r="B243" s="192">
        <f t="shared" si="14"/>
        <v>180592891.35615137</v>
      </c>
      <c r="C243" s="192">
        <f t="shared" si="15"/>
        <v>181751595.47092083</v>
      </c>
      <c r="D243" s="191">
        <f t="shared" si="16"/>
        <v>0</v>
      </c>
      <c r="E243" s="191">
        <f t="shared" si="17"/>
        <v>0</v>
      </c>
      <c r="F243" s="191">
        <f t="shared" si="18"/>
        <v>0</v>
      </c>
      <c r="G243" s="253" t="e">
        <f t="shared" ca="1" si="19"/>
        <v>#DIV/0!</v>
      </c>
      <c r="H243" s="253" t="e">
        <f ca="1">SUM($G$202:G243)</f>
        <v>#DIV/0!</v>
      </c>
    </row>
    <row r="244" spans="1:8" x14ac:dyDescent="0.25">
      <c r="A244" s="191">
        <v>43</v>
      </c>
      <c r="B244" s="192">
        <f t="shared" si="14"/>
        <v>181751595.47092083</v>
      </c>
      <c r="C244" s="192">
        <f t="shared" si="15"/>
        <v>182910299.58569029</v>
      </c>
      <c r="D244" s="191">
        <f t="shared" si="16"/>
        <v>0</v>
      </c>
      <c r="E244" s="191">
        <f t="shared" si="17"/>
        <v>0</v>
      </c>
      <c r="F244" s="191">
        <f t="shared" si="18"/>
        <v>0</v>
      </c>
      <c r="G244" s="253" t="e">
        <f t="shared" ca="1" si="19"/>
        <v>#DIV/0!</v>
      </c>
      <c r="H244" s="253" t="e">
        <f ca="1">SUM($G$202:G244)</f>
        <v>#DIV/0!</v>
      </c>
    </row>
    <row r="245" spans="1:8" x14ac:dyDescent="0.25">
      <c r="A245" s="191">
        <v>44</v>
      </c>
      <c r="B245" s="192">
        <f t="shared" si="14"/>
        <v>182910299.58569029</v>
      </c>
      <c r="C245" s="192">
        <f t="shared" si="15"/>
        <v>184069003.70045975</v>
      </c>
      <c r="D245" s="191">
        <f t="shared" si="16"/>
        <v>0</v>
      </c>
      <c r="E245" s="191">
        <f t="shared" si="17"/>
        <v>0</v>
      </c>
      <c r="F245" s="191">
        <f t="shared" si="18"/>
        <v>0</v>
      </c>
      <c r="G245" s="253" t="e">
        <f t="shared" ca="1" si="19"/>
        <v>#DIV/0!</v>
      </c>
      <c r="H245" s="253" t="e">
        <f ca="1">SUM($G$202:G245)</f>
        <v>#DIV/0!</v>
      </c>
    </row>
    <row r="246" spans="1:8" x14ac:dyDescent="0.25">
      <c r="A246" s="191">
        <v>45</v>
      </c>
      <c r="B246" s="192">
        <f t="shared" si="14"/>
        <v>184069003.70045975</v>
      </c>
      <c r="C246" s="192">
        <f t="shared" si="15"/>
        <v>185227707.81522921</v>
      </c>
      <c r="D246" s="191">
        <f t="shared" si="16"/>
        <v>1</v>
      </c>
      <c r="E246" s="191">
        <f t="shared" si="17"/>
        <v>0</v>
      </c>
      <c r="F246" s="191">
        <f t="shared" si="18"/>
        <v>1</v>
      </c>
      <c r="G246" s="253" t="e">
        <f t="shared" ca="1" si="19"/>
        <v>#DIV/0!</v>
      </c>
      <c r="H246" s="253" t="e">
        <f ca="1">SUM($G$202:G246)</f>
        <v>#DIV/0!</v>
      </c>
    </row>
    <row r="247" spans="1:8" x14ac:dyDescent="0.25">
      <c r="A247" s="191">
        <v>46</v>
      </c>
      <c r="B247" s="192">
        <f t="shared" si="14"/>
        <v>185227707.81522921</v>
      </c>
      <c r="C247" s="192">
        <f t="shared" si="15"/>
        <v>186386411.92999867</v>
      </c>
      <c r="D247" s="191">
        <f t="shared" si="16"/>
        <v>0</v>
      </c>
      <c r="E247" s="191">
        <f t="shared" si="17"/>
        <v>0</v>
      </c>
      <c r="F247" s="191">
        <f t="shared" si="18"/>
        <v>0</v>
      </c>
      <c r="G247" s="253" t="e">
        <f t="shared" ca="1" si="19"/>
        <v>#DIV/0!</v>
      </c>
      <c r="H247" s="253" t="e">
        <f ca="1">SUM($G$202:G247)</f>
        <v>#DIV/0!</v>
      </c>
    </row>
    <row r="248" spans="1:8" x14ac:dyDescent="0.25">
      <c r="A248" s="191">
        <v>47</v>
      </c>
      <c r="B248" s="192">
        <f t="shared" si="14"/>
        <v>186386411.92999867</v>
      </c>
      <c r="C248" s="192">
        <f t="shared" si="15"/>
        <v>187545116.04476812</v>
      </c>
      <c r="D248" s="191">
        <f t="shared" si="16"/>
        <v>0</v>
      </c>
      <c r="E248" s="191">
        <f t="shared" si="17"/>
        <v>0</v>
      </c>
      <c r="F248" s="191">
        <f t="shared" si="18"/>
        <v>0</v>
      </c>
      <c r="G248" s="253" t="e">
        <f t="shared" ca="1" si="19"/>
        <v>#DIV/0!</v>
      </c>
      <c r="H248" s="253" t="e">
        <f ca="1">SUM($G$202:G248)</f>
        <v>#DIV/0!</v>
      </c>
    </row>
    <row r="249" spans="1:8" x14ac:dyDescent="0.25">
      <c r="A249" s="191">
        <v>48</v>
      </c>
      <c r="B249" s="192">
        <f t="shared" si="14"/>
        <v>187545116.04476812</v>
      </c>
      <c r="C249" s="192">
        <f t="shared" si="15"/>
        <v>188703820.15953758</v>
      </c>
      <c r="D249" s="191">
        <f t="shared" si="16"/>
        <v>0</v>
      </c>
      <c r="E249" s="191">
        <f t="shared" si="17"/>
        <v>0</v>
      </c>
      <c r="F249" s="191">
        <f t="shared" si="18"/>
        <v>0</v>
      </c>
      <c r="G249" s="253" t="e">
        <f t="shared" ca="1" si="19"/>
        <v>#DIV/0!</v>
      </c>
      <c r="H249" s="253" t="e">
        <f ca="1">SUM($G$202:G249)</f>
        <v>#DIV/0!</v>
      </c>
    </row>
    <row r="250" spans="1:8" x14ac:dyDescent="0.25">
      <c r="A250" s="191">
        <v>49</v>
      </c>
      <c r="B250" s="192">
        <f t="shared" si="14"/>
        <v>188703820.15953758</v>
      </c>
      <c r="C250" s="192">
        <f t="shared" si="15"/>
        <v>189862524.27430704</v>
      </c>
      <c r="D250" s="191">
        <f t="shared" si="16"/>
        <v>0</v>
      </c>
      <c r="E250" s="191">
        <f t="shared" si="17"/>
        <v>0</v>
      </c>
      <c r="F250" s="191">
        <f t="shared" si="18"/>
        <v>0</v>
      </c>
      <c r="G250" s="253" t="e">
        <f t="shared" ca="1" si="19"/>
        <v>#DIV/0!</v>
      </c>
      <c r="H250" s="253" t="e">
        <f ca="1">SUM($G$202:G250)</f>
        <v>#DIV/0!</v>
      </c>
    </row>
    <row r="251" spans="1:8" x14ac:dyDescent="0.25">
      <c r="A251" s="191">
        <v>50</v>
      </c>
      <c r="B251" s="192">
        <f t="shared" si="14"/>
        <v>189862524.27430704</v>
      </c>
      <c r="C251" s="192">
        <f t="shared" si="15"/>
        <v>191021228.3890765</v>
      </c>
      <c r="D251" s="191">
        <f t="shared" si="16"/>
        <v>1</v>
      </c>
      <c r="E251" s="191">
        <f t="shared" si="17"/>
        <v>0</v>
      </c>
      <c r="F251" s="191">
        <f t="shared" si="18"/>
        <v>1</v>
      </c>
      <c r="G251" s="253" t="e">
        <f t="shared" ca="1" si="19"/>
        <v>#DIV/0!</v>
      </c>
      <c r="H251" s="253" t="e">
        <f ca="1">SUM($G$202:G251)</f>
        <v>#DIV/0!</v>
      </c>
    </row>
    <row r="252" spans="1:8" x14ac:dyDescent="0.25">
      <c r="C252" s="191" t="s">
        <v>163</v>
      </c>
      <c r="D252" s="187">
        <f>SUM(D202:D251)</f>
        <v>100</v>
      </c>
      <c r="E252" s="187">
        <f>SUM(E202:E251)</f>
        <v>11</v>
      </c>
      <c r="F252" s="187">
        <f>SUM(F202:F251)</f>
        <v>89</v>
      </c>
      <c r="G252" s="188" t="e">
        <f ca="1">SUM(G202:G251)</f>
        <v>#DIV/0!</v>
      </c>
    </row>
    <row r="254" spans="1:8" x14ac:dyDescent="0.25">
      <c r="A254" s="191" t="s">
        <v>100</v>
      </c>
      <c r="B254" s="191" t="s">
        <v>159</v>
      </c>
      <c r="C254" s="191" t="s">
        <v>160</v>
      </c>
      <c r="D254" s="191" t="s">
        <v>101</v>
      </c>
      <c r="E254" s="191" t="s">
        <v>103</v>
      </c>
      <c r="F254" s="191" t="s">
        <v>169</v>
      </c>
      <c r="G254" s="191" t="s">
        <v>104</v>
      </c>
      <c r="H254" s="92" t="s">
        <v>105</v>
      </c>
    </row>
    <row r="255" spans="1:8" x14ac:dyDescent="0.25">
      <c r="A255" s="191">
        <v>1</v>
      </c>
      <c r="B255" s="192">
        <f>D140</f>
        <v>6462790.554395631</v>
      </c>
      <c r="C255" s="192">
        <f t="shared" ref="C255:C286" si="20">B255+$D$143</f>
        <v>11022792.355559709</v>
      </c>
      <c r="D255" s="191">
        <f t="shared" ref="D255:D286" si="21">COUNTIFS($D$38:$D$137,CONCATENATE("&gt;=",B255),$D$38:$D$137,CONCATENATE("&lt;",C255))</f>
        <v>1</v>
      </c>
      <c r="E255" s="191">
        <f t="shared" ref="E255:E286" si="22">IF(C255&lt;=$C$145,D255,0)</f>
        <v>1</v>
      </c>
      <c r="F255" s="191">
        <f t="shared" ref="F255:F286" si="23">IF(E255=0,D255,0)</f>
        <v>0</v>
      </c>
      <c r="G255" s="253">
        <f>D255/$D$305</f>
        <v>0.01</v>
      </c>
      <c r="H255" s="253">
        <f>SUM($G$255:G255)</f>
        <v>0.01</v>
      </c>
    </row>
    <row r="256" spans="1:8" x14ac:dyDescent="0.25">
      <c r="A256" s="191">
        <v>2</v>
      </c>
      <c r="B256" s="192">
        <f>C255</f>
        <v>11022792.355559709</v>
      </c>
      <c r="C256" s="192">
        <f t="shared" si="20"/>
        <v>15582794.156723786</v>
      </c>
      <c r="D256" s="191">
        <f t="shared" si="21"/>
        <v>0</v>
      </c>
      <c r="E256" s="191">
        <f t="shared" si="22"/>
        <v>0</v>
      </c>
      <c r="F256" s="191">
        <f t="shared" si="23"/>
        <v>0</v>
      </c>
      <c r="G256" s="253" t="e">
        <f t="shared" ref="G256:G287" ca="1" si="24">D256/$D$199</f>
        <v>#DIV/0!</v>
      </c>
      <c r="H256" s="253" t="e">
        <f ca="1">SUM($G$255:G256)</f>
        <v>#DIV/0!</v>
      </c>
    </row>
    <row r="257" spans="1:8" x14ac:dyDescent="0.25">
      <c r="A257" s="191">
        <v>3</v>
      </c>
      <c r="B257" s="192">
        <f t="shared" ref="B257:B304" si="25">C256</f>
        <v>15582794.156723786</v>
      </c>
      <c r="C257" s="192">
        <f t="shared" si="20"/>
        <v>20142795.957887866</v>
      </c>
      <c r="D257" s="191">
        <f t="shared" si="21"/>
        <v>2</v>
      </c>
      <c r="E257" s="191">
        <f t="shared" si="22"/>
        <v>2</v>
      </c>
      <c r="F257" s="191">
        <f t="shared" si="23"/>
        <v>0</v>
      </c>
      <c r="G257" s="253" t="e">
        <f t="shared" ca="1" si="24"/>
        <v>#DIV/0!</v>
      </c>
      <c r="H257" s="253" t="e">
        <f ca="1">SUM($G$255:G257)</f>
        <v>#DIV/0!</v>
      </c>
    </row>
    <row r="258" spans="1:8" x14ac:dyDescent="0.25">
      <c r="A258" s="191">
        <v>4</v>
      </c>
      <c r="B258" s="192">
        <f t="shared" si="25"/>
        <v>20142795.957887866</v>
      </c>
      <c r="C258" s="192">
        <f t="shared" si="20"/>
        <v>24702797.759051941</v>
      </c>
      <c r="D258" s="191">
        <f t="shared" si="21"/>
        <v>2</v>
      </c>
      <c r="E258" s="191">
        <f t="shared" si="22"/>
        <v>2</v>
      </c>
      <c r="F258" s="191">
        <f t="shared" si="23"/>
        <v>0</v>
      </c>
      <c r="G258" s="253" t="e">
        <f t="shared" ca="1" si="24"/>
        <v>#DIV/0!</v>
      </c>
      <c r="H258" s="253" t="e">
        <f ca="1">SUM($G$255:G258)</f>
        <v>#DIV/0!</v>
      </c>
    </row>
    <row r="259" spans="1:8" x14ac:dyDescent="0.25">
      <c r="A259" s="191">
        <v>5</v>
      </c>
      <c r="B259" s="192">
        <f t="shared" si="25"/>
        <v>24702797.759051941</v>
      </c>
      <c r="C259" s="192">
        <f t="shared" si="20"/>
        <v>29262799.560216017</v>
      </c>
      <c r="D259" s="191">
        <f t="shared" si="21"/>
        <v>0</v>
      </c>
      <c r="E259" s="191">
        <f t="shared" si="22"/>
        <v>0</v>
      </c>
      <c r="F259" s="191">
        <f t="shared" si="23"/>
        <v>0</v>
      </c>
      <c r="G259" s="253" t="e">
        <f t="shared" ca="1" si="24"/>
        <v>#DIV/0!</v>
      </c>
      <c r="H259" s="253" t="e">
        <f ca="1">SUM($G$255:G259)</f>
        <v>#DIV/0!</v>
      </c>
    </row>
    <row r="260" spans="1:8" x14ac:dyDescent="0.25">
      <c r="A260" s="191">
        <v>6</v>
      </c>
      <c r="B260" s="192">
        <f t="shared" si="25"/>
        <v>29262799.560216017</v>
      </c>
      <c r="C260" s="192">
        <f t="shared" si="20"/>
        <v>33822801.361380093</v>
      </c>
      <c r="D260" s="191">
        <f t="shared" si="21"/>
        <v>1</v>
      </c>
      <c r="E260" s="191">
        <f t="shared" si="22"/>
        <v>1</v>
      </c>
      <c r="F260" s="191">
        <f t="shared" si="23"/>
        <v>0</v>
      </c>
      <c r="G260" s="253" t="e">
        <f t="shared" ca="1" si="24"/>
        <v>#DIV/0!</v>
      </c>
      <c r="H260" s="253" t="e">
        <f ca="1">SUM($G$255:G260)</f>
        <v>#DIV/0!</v>
      </c>
    </row>
    <row r="261" spans="1:8" x14ac:dyDescent="0.25">
      <c r="A261" s="191">
        <v>7</v>
      </c>
      <c r="B261" s="192">
        <f t="shared" si="25"/>
        <v>33822801.361380093</v>
      </c>
      <c r="C261" s="192">
        <f t="shared" si="20"/>
        <v>38382803.162544169</v>
      </c>
      <c r="D261" s="191">
        <f t="shared" si="21"/>
        <v>1</v>
      </c>
      <c r="E261" s="191">
        <f t="shared" si="22"/>
        <v>1</v>
      </c>
      <c r="F261" s="191">
        <f t="shared" si="23"/>
        <v>0</v>
      </c>
      <c r="G261" s="253" t="e">
        <f t="shared" ca="1" si="24"/>
        <v>#DIV/0!</v>
      </c>
      <c r="H261" s="253" t="e">
        <f ca="1">SUM($G$255:G261)</f>
        <v>#DIV/0!</v>
      </c>
    </row>
    <row r="262" spans="1:8" x14ac:dyDescent="0.25">
      <c r="A262" s="191">
        <v>8</v>
      </c>
      <c r="B262" s="192">
        <f t="shared" si="25"/>
        <v>38382803.162544169</v>
      </c>
      <c r="C262" s="192">
        <f t="shared" si="20"/>
        <v>42942804.963708244</v>
      </c>
      <c r="D262" s="191">
        <f t="shared" si="21"/>
        <v>1</v>
      </c>
      <c r="E262" s="191">
        <f t="shared" si="22"/>
        <v>1</v>
      </c>
      <c r="F262" s="191">
        <f t="shared" si="23"/>
        <v>0</v>
      </c>
      <c r="G262" s="253" t="e">
        <f t="shared" ca="1" si="24"/>
        <v>#DIV/0!</v>
      </c>
      <c r="H262" s="253" t="e">
        <f ca="1">SUM($G$255:G262)</f>
        <v>#DIV/0!</v>
      </c>
    </row>
    <row r="263" spans="1:8" x14ac:dyDescent="0.25">
      <c r="A263" s="191">
        <v>9</v>
      </c>
      <c r="B263" s="192">
        <f t="shared" si="25"/>
        <v>42942804.963708244</v>
      </c>
      <c r="C263" s="192">
        <f t="shared" si="20"/>
        <v>47502806.76487232</v>
      </c>
      <c r="D263" s="191">
        <f t="shared" si="21"/>
        <v>0</v>
      </c>
      <c r="E263" s="191">
        <f t="shared" si="22"/>
        <v>0</v>
      </c>
      <c r="F263" s="191">
        <f t="shared" si="23"/>
        <v>0</v>
      </c>
      <c r="G263" s="253" t="e">
        <f t="shared" ca="1" si="24"/>
        <v>#DIV/0!</v>
      </c>
      <c r="H263" s="253" t="e">
        <f ca="1">SUM($G$255:G263)</f>
        <v>#DIV/0!</v>
      </c>
    </row>
    <row r="264" spans="1:8" x14ac:dyDescent="0.25">
      <c r="A264" s="191">
        <v>10</v>
      </c>
      <c r="B264" s="192">
        <f t="shared" si="25"/>
        <v>47502806.76487232</v>
      </c>
      <c r="C264" s="192">
        <f t="shared" si="20"/>
        <v>52062808.566036396</v>
      </c>
      <c r="D264" s="191">
        <f t="shared" si="21"/>
        <v>0</v>
      </c>
      <c r="E264" s="191">
        <f t="shared" si="22"/>
        <v>0</v>
      </c>
      <c r="F264" s="191">
        <f t="shared" si="23"/>
        <v>0</v>
      </c>
      <c r="G264" s="253" t="e">
        <f t="shared" ca="1" si="24"/>
        <v>#DIV/0!</v>
      </c>
      <c r="H264" s="253" t="e">
        <f ca="1">SUM($G$255:G264)</f>
        <v>#DIV/0!</v>
      </c>
    </row>
    <row r="265" spans="1:8" x14ac:dyDescent="0.25">
      <c r="A265" s="191">
        <v>11</v>
      </c>
      <c r="B265" s="192">
        <f t="shared" si="25"/>
        <v>52062808.566036396</v>
      </c>
      <c r="C265" s="192">
        <f t="shared" si="20"/>
        <v>56622810.367200471</v>
      </c>
      <c r="D265" s="191">
        <f t="shared" si="21"/>
        <v>1</v>
      </c>
      <c r="E265" s="191">
        <f t="shared" si="22"/>
        <v>1</v>
      </c>
      <c r="F265" s="191">
        <f t="shared" si="23"/>
        <v>0</v>
      </c>
      <c r="G265" s="253" t="e">
        <f t="shared" ca="1" si="24"/>
        <v>#DIV/0!</v>
      </c>
      <c r="H265" s="253" t="e">
        <f ca="1">SUM($G$255:G265)</f>
        <v>#DIV/0!</v>
      </c>
    </row>
    <row r="266" spans="1:8" x14ac:dyDescent="0.25">
      <c r="A266" s="191">
        <v>12</v>
      </c>
      <c r="B266" s="192">
        <f t="shared" si="25"/>
        <v>56622810.367200471</v>
      </c>
      <c r="C266" s="192">
        <f t="shared" si="20"/>
        <v>61182812.168364547</v>
      </c>
      <c r="D266" s="191">
        <f t="shared" si="21"/>
        <v>1</v>
      </c>
      <c r="E266" s="191">
        <f t="shared" si="22"/>
        <v>1</v>
      </c>
      <c r="F266" s="191">
        <f t="shared" si="23"/>
        <v>0</v>
      </c>
      <c r="G266" s="253" t="e">
        <f t="shared" ca="1" si="24"/>
        <v>#DIV/0!</v>
      </c>
      <c r="H266" s="253" t="e">
        <f ca="1">SUM($G$255:G266)</f>
        <v>#DIV/0!</v>
      </c>
    </row>
    <row r="267" spans="1:8" x14ac:dyDescent="0.25">
      <c r="A267" s="191">
        <v>13</v>
      </c>
      <c r="B267" s="192">
        <f t="shared" si="25"/>
        <v>61182812.168364547</v>
      </c>
      <c r="C267" s="192">
        <f t="shared" si="20"/>
        <v>65742813.969528623</v>
      </c>
      <c r="D267" s="191">
        <f t="shared" si="21"/>
        <v>3</v>
      </c>
      <c r="E267" s="191">
        <f t="shared" si="22"/>
        <v>3</v>
      </c>
      <c r="F267" s="191">
        <f t="shared" si="23"/>
        <v>0</v>
      </c>
      <c r="G267" s="253" t="e">
        <f t="shared" ca="1" si="24"/>
        <v>#DIV/0!</v>
      </c>
      <c r="H267" s="253" t="e">
        <f ca="1">SUM($G$255:G267)</f>
        <v>#DIV/0!</v>
      </c>
    </row>
    <row r="268" spans="1:8" x14ac:dyDescent="0.25">
      <c r="A268" s="191">
        <v>14</v>
      </c>
      <c r="B268" s="192">
        <f t="shared" si="25"/>
        <v>65742813.969528623</v>
      </c>
      <c r="C268" s="192">
        <f t="shared" si="20"/>
        <v>70302815.770692706</v>
      </c>
      <c r="D268" s="191">
        <f t="shared" si="21"/>
        <v>1</v>
      </c>
      <c r="E268" s="191">
        <f t="shared" si="22"/>
        <v>1</v>
      </c>
      <c r="F268" s="191">
        <f t="shared" si="23"/>
        <v>0</v>
      </c>
      <c r="G268" s="253" t="e">
        <f t="shared" ca="1" si="24"/>
        <v>#DIV/0!</v>
      </c>
      <c r="H268" s="253" t="e">
        <f ca="1">SUM($G$255:G268)</f>
        <v>#DIV/0!</v>
      </c>
    </row>
    <row r="269" spans="1:8" x14ac:dyDescent="0.25">
      <c r="A269" s="191">
        <v>15</v>
      </c>
      <c r="B269" s="192">
        <f t="shared" si="25"/>
        <v>70302815.770692706</v>
      </c>
      <c r="C269" s="192">
        <f t="shared" si="20"/>
        <v>74862817.571856782</v>
      </c>
      <c r="D269" s="191">
        <f t="shared" si="21"/>
        <v>1</v>
      </c>
      <c r="E269" s="191">
        <f t="shared" si="22"/>
        <v>1</v>
      </c>
      <c r="F269" s="191">
        <f t="shared" si="23"/>
        <v>0</v>
      </c>
      <c r="G269" s="253" t="e">
        <f t="shared" ca="1" si="24"/>
        <v>#DIV/0!</v>
      </c>
      <c r="H269" s="253" t="e">
        <f ca="1">SUM($G$255:G269)</f>
        <v>#DIV/0!</v>
      </c>
    </row>
    <row r="270" spans="1:8" x14ac:dyDescent="0.25">
      <c r="A270" s="191">
        <v>16</v>
      </c>
      <c r="B270" s="192">
        <f t="shared" si="25"/>
        <v>74862817.571856782</v>
      </c>
      <c r="C270" s="192">
        <f t="shared" si="20"/>
        <v>79422819.373020858</v>
      </c>
      <c r="D270" s="191">
        <f t="shared" si="21"/>
        <v>1</v>
      </c>
      <c r="E270" s="191">
        <f t="shared" si="22"/>
        <v>1</v>
      </c>
      <c r="F270" s="191">
        <f t="shared" si="23"/>
        <v>0</v>
      </c>
      <c r="G270" s="253" t="e">
        <f t="shared" ca="1" si="24"/>
        <v>#DIV/0!</v>
      </c>
      <c r="H270" s="253" t="e">
        <f ca="1">SUM($G$255:G270)</f>
        <v>#DIV/0!</v>
      </c>
    </row>
    <row r="271" spans="1:8" x14ac:dyDescent="0.25">
      <c r="A271" s="191">
        <v>17</v>
      </c>
      <c r="B271" s="192">
        <f t="shared" si="25"/>
        <v>79422819.373020858</v>
      </c>
      <c r="C271" s="192">
        <f t="shared" si="20"/>
        <v>83982821.174184933</v>
      </c>
      <c r="D271" s="191">
        <f t="shared" si="21"/>
        <v>3</v>
      </c>
      <c r="E271" s="191">
        <f t="shared" si="22"/>
        <v>3</v>
      </c>
      <c r="F271" s="191">
        <f t="shared" si="23"/>
        <v>0</v>
      </c>
      <c r="G271" s="253" t="e">
        <f t="shared" ca="1" si="24"/>
        <v>#DIV/0!</v>
      </c>
      <c r="H271" s="253" t="e">
        <f ca="1">SUM($G$255:G271)</f>
        <v>#DIV/0!</v>
      </c>
    </row>
    <row r="272" spans="1:8" x14ac:dyDescent="0.25">
      <c r="A272" s="191">
        <v>18</v>
      </c>
      <c r="B272" s="192">
        <f t="shared" si="25"/>
        <v>83982821.174184933</v>
      </c>
      <c r="C272" s="192">
        <f t="shared" si="20"/>
        <v>88542822.975349009</v>
      </c>
      <c r="D272" s="191">
        <f t="shared" si="21"/>
        <v>5</v>
      </c>
      <c r="E272" s="191">
        <f t="shared" si="22"/>
        <v>5</v>
      </c>
      <c r="F272" s="191">
        <f t="shared" si="23"/>
        <v>0</v>
      </c>
      <c r="G272" s="253" t="e">
        <f t="shared" ca="1" si="24"/>
        <v>#DIV/0!</v>
      </c>
      <c r="H272" s="253" t="e">
        <f ca="1">SUM($G$255:G272)</f>
        <v>#DIV/0!</v>
      </c>
    </row>
    <row r="273" spans="1:8" x14ac:dyDescent="0.25">
      <c r="A273" s="191">
        <v>19</v>
      </c>
      <c r="B273" s="192">
        <f t="shared" si="25"/>
        <v>88542822.975349009</v>
      </c>
      <c r="C273" s="192">
        <f t="shared" si="20"/>
        <v>93102824.776513085</v>
      </c>
      <c r="D273" s="191">
        <f t="shared" si="21"/>
        <v>2</v>
      </c>
      <c r="E273" s="191">
        <f t="shared" si="22"/>
        <v>2</v>
      </c>
      <c r="F273" s="191">
        <f t="shared" si="23"/>
        <v>0</v>
      </c>
      <c r="G273" s="253" t="e">
        <f t="shared" ca="1" si="24"/>
        <v>#DIV/0!</v>
      </c>
      <c r="H273" s="253" t="e">
        <f ca="1">SUM($G$255:G273)</f>
        <v>#DIV/0!</v>
      </c>
    </row>
    <row r="274" spans="1:8" x14ac:dyDescent="0.25">
      <c r="A274" s="191">
        <v>20</v>
      </c>
      <c r="B274" s="192">
        <f t="shared" si="25"/>
        <v>93102824.776513085</v>
      </c>
      <c r="C274" s="192">
        <f t="shared" si="20"/>
        <v>97662826.577677161</v>
      </c>
      <c r="D274" s="191">
        <f t="shared" si="21"/>
        <v>1</v>
      </c>
      <c r="E274" s="191">
        <f t="shared" si="22"/>
        <v>1</v>
      </c>
      <c r="F274" s="191">
        <f t="shared" si="23"/>
        <v>0</v>
      </c>
      <c r="G274" s="253" t="e">
        <f t="shared" ca="1" si="24"/>
        <v>#DIV/0!</v>
      </c>
      <c r="H274" s="253" t="e">
        <f ca="1">SUM($G$255:G274)</f>
        <v>#DIV/0!</v>
      </c>
    </row>
    <row r="275" spans="1:8" x14ac:dyDescent="0.25">
      <c r="A275" s="191">
        <v>21</v>
      </c>
      <c r="B275" s="192">
        <f t="shared" si="25"/>
        <v>97662826.577677161</v>
      </c>
      <c r="C275" s="192">
        <f t="shared" si="20"/>
        <v>102222828.37884124</v>
      </c>
      <c r="D275" s="191">
        <f t="shared" si="21"/>
        <v>2</v>
      </c>
      <c r="E275" s="191">
        <f t="shared" si="22"/>
        <v>2</v>
      </c>
      <c r="F275" s="191">
        <f t="shared" si="23"/>
        <v>0</v>
      </c>
      <c r="G275" s="253" t="e">
        <f t="shared" ca="1" si="24"/>
        <v>#DIV/0!</v>
      </c>
      <c r="H275" s="253" t="e">
        <f ca="1">SUM($G$255:G275)</f>
        <v>#DIV/0!</v>
      </c>
    </row>
    <row r="276" spans="1:8" x14ac:dyDescent="0.25">
      <c r="A276" s="191">
        <v>22</v>
      </c>
      <c r="B276" s="192">
        <f t="shared" si="25"/>
        <v>102222828.37884124</v>
      </c>
      <c r="C276" s="192">
        <f t="shared" si="20"/>
        <v>106782830.18000531</v>
      </c>
      <c r="D276" s="191">
        <f t="shared" si="21"/>
        <v>2</v>
      </c>
      <c r="E276" s="191">
        <f t="shared" si="22"/>
        <v>2</v>
      </c>
      <c r="F276" s="191">
        <f t="shared" si="23"/>
        <v>0</v>
      </c>
      <c r="G276" s="253" t="e">
        <f t="shared" ca="1" si="24"/>
        <v>#DIV/0!</v>
      </c>
      <c r="H276" s="253" t="e">
        <f ca="1">SUM($G$255:G276)</f>
        <v>#DIV/0!</v>
      </c>
    </row>
    <row r="277" spans="1:8" x14ac:dyDescent="0.25">
      <c r="A277" s="191">
        <v>23</v>
      </c>
      <c r="B277" s="192">
        <f t="shared" si="25"/>
        <v>106782830.18000531</v>
      </c>
      <c r="C277" s="192">
        <f t="shared" si="20"/>
        <v>111342831.98116939</v>
      </c>
      <c r="D277" s="191">
        <f t="shared" si="21"/>
        <v>2</v>
      </c>
      <c r="E277" s="191">
        <f t="shared" si="22"/>
        <v>2</v>
      </c>
      <c r="F277" s="191">
        <f t="shared" si="23"/>
        <v>0</v>
      </c>
      <c r="G277" s="253" t="e">
        <f t="shared" ca="1" si="24"/>
        <v>#DIV/0!</v>
      </c>
      <c r="H277" s="253" t="e">
        <f ca="1">SUM($G$255:G277)</f>
        <v>#DIV/0!</v>
      </c>
    </row>
    <row r="278" spans="1:8" x14ac:dyDescent="0.25">
      <c r="A278" s="191">
        <v>24</v>
      </c>
      <c r="B278" s="192">
        <f t="shared" si="25"/>
        <v>111342831.98116939</v>
      </c>
      <c r="C278" s="192">
        <f t="shared" si="20"/>
        <v>115902833.78233346</v>
      </c>
      <c r="D278" s="191">
        <f t="shared" si="21"/>
        <v>2</v>
      </c>
      <c r="E278" s="191">
        <f t="shared" si="22"/>
        <v>2</v>
      </c>
      <c r="F278" s="191">
        <f t="shared" si="23"/>
        <v>0</v>
      </c>
      <c r="G278" s="253" t="e">
        <f t="shared" ca="1" si="24"/>
        <v>#DIV/0!</v>
      </c>
      <c r="H278" s="253" t="e">
        <f ca="1">SUM($G$255:G278)</f>
        <v>#DIV/0!</v>
      </c>
    </row>
    <row r="279" spans="1:8" x14ac:dyDescent="0.25">
      <c r="A279" s="191">
        <v>25</v>
      </c>
      <c r="B279" s="192">
        <f t="shared" si="25"/>
        <v>115902833.78233346</v>
      </c>
      <c r="C279" s="192">
        <f t="shared" si="20"/>
        <v>120462835.58349754</v>
      </c>
      <c r="D279" s="191">
        <f t="shared" si="21"/>
        <v>3</v>
      </c>
      <c r="E279" s="191">
        <f t="shared" si="22"/>
        <v>3</v>
      </c>
      <c r="F279" s="191">
        <f t="shared" si="23"/>
        <v>0</v>
      </c>
      <c r="G279" s="253" t="e">
        <f t="shared" ca="1" si="24"/>
        <v>#DIV/0!</v>
      </c>
      <c r="H279" s="253" t="e">
        <f ca="1">SUM($G$255:G279)</f>
        <v>#DIV/0!</v>
      </c>
    </row>
    <row r="280" spans="1:8" x14ac:dyDescent="0.25">
      <c r="A280" s="191">
        <v>26</v>
      </c>
      <c r="B280" s="192">
        <f t="shared" si="25"/>
        <v>120462835.58349754</v>
      </c>
      <c r="C280" s="192">
        <f t="shared" si="20"/>
        <v>125022837.38466161</v>
      </c>
      <c r="D280" s="191">
        <f t="shared" si="21"/>
        <v>6</v>
      </c>
      <c r="E280" s="191">
        <f t="shared" si="22"/>
        <v>6</v>
      </c>
      <c r="F280" s="191">
        <f t="shared" si="23"/>
        <v>0</v>
      </c>
      <c r="G280" s="253" t="e">
        <f t="shared" ca="1" si="24"/>
        <v>#DIV/0!</v>
      </c>
      <c r="H280" s="253" t="e">
        <f ca="1">SUM($G$255:G280)</f>
        <v>#DIV/0!</v>
      </c>
    </row>
    <row r="281" spans="1:8" x14ac:dyDescent="0.25">
      <c r="A281" s="191">
        <v>27</v>
      </c>
      <c r="B281" s="192">
        <f t="shared" si="25"/>
        <v>125022837.38466161</v>
      </c>
      <c r="C281" s="192">
        <f t="shared" si="20"/>
        <v>129582839.18582569</v>
      </c>
      <c r="D281" s="191">
        <f t="shared" si="21"/>
        <v>0</v>
      </c>
      <c r="E281" s="191">
        <f t="shared" si="22"/>
        <v>0</v>
      </c>
      <c r="F281" s="191">
        <f t="shared" si="23"/>
        <v>0</v>
      </c>
      <c r="G281" s="253" t="e">
        <f t="shared" ca="1" si="24"/>
        <v>#DIV/0!</v>
      </c>
      <c r="H281" s="253" t="e">
        <f ca="1">SUM($G$255:G281)</f>
        <v>#DIV/0!</v>
      </c>
    </row>
    <row r="282" spans="1:8" x14ac:dyDescent="0.25">
      <c r="A282" s="191">
        <v>28</v>
      </c>
      <c r="B282" s="192">
        <f t="shared" si="25"/>
        <v>129582839.18582569</v>
      </c>
      <c r="C282" s="192">
        <f t="shared" si="20"/>
        <v>134142840.98698977</v>
      </c>
      <c r="D282" s="191">
        <f t="shared" si="21"/>
        <v>3</v>
      </c>
      <c r="E282" s="191">
        <f t="shared" si="22"/>
        <v>3</v>
      </c>
      <c r="F282" s="191">
        <f t="shared" si="23"/>
        <v>0</v>
      </c>
      <c r="G282" s="253" t="e">
        <f t="shared" ca="1" si="24"/>
        <v>#DIV/0!</v>
      </c>
      <c r="H282" s="253" t="e">
        <f ca="1">SUM($G$255:G282)</f>
        <v>#DIV/0!</v>
      </c>
    </row>
    <row r="283" spans="1:8" x14ac:dyDescent="0.25">
      <c r="A283" s="191">
        <v>29</v>
      </c>
      <c r="B283" s="192">
        <f t="shared" si="25"/>
        <v>134142840.98698977</v>
      </c>
      <c r="C283" s="192">
        <f t="shared" si="20"/>
        <v>138702842.78815386</v>
      </c>
      <c r="D283" s="191">
        <f t="shared" si="21"/>
        <v>6</v>
      </c>
      <c r="E283" s="191">
        <f t="shared" si="22"/>
        <v>6</v>
      </c>
      <c r="F283" s="191">
        <f t="shared" si="23"/>
        <v>0</v>
      </c>
      <c r="G283" s="253" t="e">
        <f t="shared" ca="1" si="24"/>
        <v>#DIV/0!</v>
      </c>
      <c r="H283" s="253" t="e">
        <f ca="1">SUM($G$255:G283)</f>
        <v>#DIV/0!</v>
      </c>
    </row>
    <row r="284" spans="1:8" x14ac:dyDescent="0.25">
      <c r="A284" s="191">
        <v>30</v>
      </c>
      <c r="B284" s="192">
        <f t="shared" si="25"/>
        <v>138702842.78815386</v>
      </c>
      <c r="C284" s="192">
        <f t="shared" si="20"/>
        <v>143262844.58931795</v>
      </c>
      <c r="D284" s="191">
        <f t="shared" si="21"/>
        <v>4</v>
      </c>
      <c r="E284" s="191">
        <f t="shared" si="22"/>
        <v>4</v>
      </c>
      <c r="F284" s="191">
        <f t="shared" si="23"/>
        <v>0</v>
      </c>
      <c r="G284" s="253" t="e">
        <f t="shared" ca="1" si="24"/>
        <v>#DIV/0!</v>
      </c>
      <c r="H284" s="253" t="e">
        <f ca="1">SUM($G$255:G284)</f>
        <v>#DIV/0!</v>
      </c>
    </row>
    <row r="285" spans="1:8" x14ac:dyDescent="0.25">
      <c r="A285" s="191">
        <v>31</v>
      </c>
      <c r="B285" s="192">
        <f t="shared" si="25"/>
        <v>143262844.58931795</v>
      </c>
      <c r="C285" s="192">
        <f t="shared" si="20"/>
        <v>147822846.39048204</v>
      </c>
      <c r="D285" s="191">
        <f t="shared" si="21"/>
        <v>3</v>
      </c>
      <c r="E285" s="191">
        <f t="shared" si="22"/>
        <v>0</v>
      </c>
      <c r="F285" s="191">
        <f t="shared" si="23"/>
        <v>3</v>
      </c>
      <c r="G285" s="253" t="e">
        <f t="shared" ca="1" si="24"/>
        <v>#DIV/0!</v>
      </c>
      <c r="H285" s="253" t="e">
        <f ca="1">SUM($G$255:G285)</f>
        <v>#DIV/0!</v>
      </c>
    </row>
    <row r="286" spans="1:8" x14ac:dyDescent="0.25">
      <c r="A286" s="191">
        <v>32</v>
      </c>
      <c r="B286" s="192">
        <f t="shared" si="25"/>
        <v>147822846.39048204</v>
      </c>
      <c r="C286" s="192">
        <f t="shared" si="20"/>
        <v>152382848.19164613</v>
      </c>
      <c r="D286" s="191">
        <f t="shared" si="21"/>
        <v>3</v>
      </c>
      <c r="E286" s="191">
        <f t="shared" si="22"/>
        <v>0</v>
      </c>
      <c r="F286" s="191">
        <f t="shared" si="23"/>
        <v>3</v>
      </c>
      <c r="G286" s="253" t="e">
        <f t="shared" ca="1" si="24"/>
        <v>#DIV/0!</v>
      </c>
      <c r="H286" s="253" t="e">
        <f ca="1">SUM($G$255:G286)</f>
        <v>#DIV/0!</v>
      </c>
    </row>
    <row r="287" spans="1:8" x14ac:dyDescent="0.25">
      <c r="A287" s="191">
        <v>33</v>
      </c>
      <c r="B287" s="192">
        <f t="shared" si="25"/>
        <v>152382848.19164613</v>
      </c>
      <c r="C287" s="192">
        <f t="shared" ref="C287:C304" si="26">B287+$D$143</f>
        <v>156942849.99281022</v>
      </c>
      <c r="D287" s="191">
        <f t="shared" ref="D287:D304" si="27">COUNTIFS($D$38:$D$137,CONCATENATE("&gt;=",B287),$D$38:$D$137,CONCATENATE("&lt;",C287))</f>
        <v>4</v>
      </c>
      <c r="E287" s="191">
        <f t="shared" ref="E287:E304" si="28">IF(C287&lt;=$C$145,D287,0)</f>
        <v>0</v>
      </c>
      <c r="F287" s="191">
        <f t="shared" ref="F287:F304" si="29">IF(E287=0,D287,0)</f>
        <v>4</v>
      </c>
      <c r="G287" s="253" t="e">
        <f t="shared" ca="1" si="24"/>
        <v>#DIV/0!</v>
      </c>
      <c r="H287" s="253" t="e">
        <f ca="1">SUM($G$255:G287)</f>
        <v>#DIV/0!</v>
      </c>
    </row>
    <row r="288" spans="1:8" x14ac:dyDescent="0.25">
      <c r="A288" s="191">
        <v>34</v>
      </c>
      <c r="B288" s="192">
        <f t="shared" si="25"/>
        <v>156942849.99281022</v>
      </c>
      <c r="C288" s="192">
        <f t="shared" si="26"/>
        <v>161502851.79397431</v>
      </c>
      <c r="D288" s="191">
        <f t="shared" si="27"/>
        <v>1</v>
      </c>
      <c r="E288" s="191">
        <f t="shared" si="28"/>
        <v>0</v>
      </c>
      <c r="F288" s="191">
        <f t="shared" si="29"/>
        <v>1</v>
      </c>
      <c r="G288" s="253" t="e">
        <f t="shared" ref="G288:G304" ca="1" si="30">D288/$D$199</f>
        <v>#DIV/0!</v>
      </c>
      <c r="H288" s="253" t="e">
        <f ca="1">SUM($G$255:G288)</f>
        <v>#DIV/0!</v>
      </c>
    </row>
    <row r="289" spans="1:8" x14ac:dyDescent="0.25">
      <c r="A289" s="191">
        <v>35</v>
      </c>
      <c r="B289" s="192">
        <f t="shared" si="25"/>
        <v>161502851.79397431</v>
      </c>
      <c r="C289" s="192">
        <f t="shared" si="26"/>
        <v>166062853.5951384</v>
      </c>
      <c r="D289" s="191">
        <f t="shared" si="27"/>
        <v>4</v>
      </c>
      <c r="E289" s="191">
        <f t="shared" si="28"/>
        <v>0</v>
      </c>
      <c r="F289" s="191">
        <f t="shared" si="29"/>
        <v>4</v>
      </c>
      <c r="G289" s="253" t="e">
        <f t="shared" ca="1" si="30"/>
        <v>#DIV/0!</v>
      </c>
      <c r="H289" s="253" t="e">
        <f ca="1">SUM($G$255:G289)</f>
        <v>#DIV/0!</v>
      </c>
    </row>
    <row r="290" spans="1:8" x14ac:dyDescent="0.25">
      <c r="A290" s="191">
        <v>36</v>
      </c>
      <c r="B290" s="192">
        <f t="shared" si="25"/>
        <v>166062853.5951384</v>
      </c>
      <c r="C290" s="192">
        <f t="shared" si="26"/>
        <v>170622855.39630249</v>
      </c>
      <c r="D290" s="191">
        <f t="shared" si="27"/>
        <v>3</v>
      </c>
      <c r="E290" s="191">
        <f t="shared" si="28"/>
        <v>0</v>
      </c>
      <c r="F290" s="191">
        <f t="shared" si="29"/>
        <v>3</v>
      </c>
      <c r="G290" s="253" t="e">
        <f t="shared" ca="1" si="30"/>
        <v>#DIV/0!</v>
      </c>
      <c r="H290" s="253" t="e">
        <f ca="1">SUM($G$255:G290)</f>
        <v>#DIV/0!</v>
      </c>
    </row>
    <row r="291" spans="1:8" x14ac:dyDescent="0.25">
      <c r="A291" s="191">
        <v>37</v>
      </c>
      <c r="B291" s="192">
        <f t="shared" si="25"/>
        <v>170622855.39630249</v>
      </c>
      <c r="C291" s="192">
        <f t="shared" si="26"/>
        <v>175182857.19746658</v>
      </c>
      <c r="D291" s="191">
        <f t="shared" si="27"/>
        <v>2</v>
      </c>
      <c r="E291" s="191">
        <f t="shared" si="28"/>
        <v>0</v>
      </c>
      <c r="F291" s="191">
        <f t="shared" si="29"/>
        <v>2</v>
      </c>
      <c r="G291" s="253" t="e">
        <f t="shared" ca="1" si="30"/>
        <v>#DIV/0!</v>
      </c>
      <c r="H291" s="253" t="e">
        <f ca="1">SUM($G$255:G291)</f>
        <v>#DIV/0!</v>
      </c>
    </row>
    <row r="292" spans="1:8" x14ac:dyDescent="0.25">
      <c r="A292" s="191">
        <v>38</v>
      </c>
      <c r="B292" s="192">
        <f t="shared" si="25"/>
        <v>175182857.19746658</v>
      </c>
      <c r="C292" s="192">
        <f t="shared" si="26"/>
        <v>179742858.99863067</v>
      </c>
      <c r="D292" s="191">
        <f t="shared" si="27"/>
        <v>5</v>
      </c>
      <c r="E292" s="191">
        <f t="shared" si="28"/>
        <v>0</v>
      </c>
      <c r="F292" s="191">
        <f t="shared" si="29"/>
        <v>5</v>
      </c>
      <c r="G292" s="253" t="e">
        <f t="shared" ca="1" si="30"/>
        <v>#DIV/0!</v>
      </c>
      <c r="H292" s="253" t="e">
        <f ca="1">SUM($G$255:G292)</f>
        <v>#DIV/0!</v>
      </c>
    </row>
    <row r="293" spans="1:8" x14ac:dyDescent="0.25">
      <c r="A293" s="191">
        <v>39</v>
      </c>
      <c r="B293" s="192">
        <f t="shared" si="25"/>
        <v>179742858.99863067</v>
      </c>
      <c r="C293" s="192">
        <f t="shared" si="26"/>
        <v>184302860.79979476</v>
      </c>
      <c r="D293" s="191">
        <f t="shared" si="27"/>
        <v>4</v>
      </c>
      <c r="E293" s="191">
        <f t="shared" si="28"/>
        <v>0</v>
      </c>
      <c r="F293" s="191">
        <f t="shared" si="29"/>
        <v>4</v>
      </c>
      <c r="G293" s="253" t="e">
        <f t="shared" ca="1" si="30"/>
        <v>#DIV/0!</v>
      </c>
      <c r="H293" s="253" t="e">
        <f ca="1">SUM($G$255:G293)</f>
        <v>#DIV/0!</v>
      </c>
    </row>
    <row r="294" spans="1:8" x14ac:dyDescent="0.25">
      <c r="A294" s="191">
        <v>40</v>
      </c>
      <c r="B294" s="192">
        <f t="shared" si="25"/>
        <v>184302860.79979476</v>
      </c>
      <c r="C294" s="192">
        <f t="shared" si="26"/>
        <v>188862862.60095885</v>
      </c>
      <c r="D294" s="191">
        <f t="shared" si="27"/>
        <v>3</v>
      </c>
      <c r="E294" s="191">
        <f t="shared" si="28"/>
        <v>0</v>
      </c>
      <c r="F294" s="191">
        <f t="shared" si="29"/>
        <v>3</v>
      </c>
      <c r="G294" s="253" t="e">
        <f t="shared" ca="1" si="30"/>
        <v>#DIV/0!</v>
      </c>
      <c r="H294" s="253" t="e">
        <f ca="1">SUM($G$255:G294)</f>
        <v>#DIV/0!</v>
      </c>
    </row>
    <row r="295" spans="1:8" x14ac:dyDescent="0.25">
      <c r="A295" s="191">
        <v>41</v>
      </c>
      <c r="B295" s="192">
        <f t="shared" si="25"/>
        <v>188862862.60095885</v>
      </c>
      <c r="C295" s="192">
        <f t="shared" si="26"/>
        <v>193422864.40212294</v>
      </c>
      <c r="D295" s="191">
        <f t="shared" si="27"/>
        <v>1</v>
      </c>
      <c r="E295" s="191">
        <f t="shared" si="28"/>
        <v>0</v>
      </c>
      <c r="F295" s="191">
        <f t="shared" si="29"/>
        <v>1</v>
      </c>
      <c r="G295" s="253" t="e">
        <f t="shared" ca="1" si="30"/>
        <v>#DIV/0!</v>
      </c>
      <c r="H295" s="253" t="e">
        <f ca="1">SUM($G$255:G295)</f>
        <v>#DIV/0!</v>
      </c>
    </row>
    <row r="296" spans="1:8" x14ac:dyDescent="0.25">
      <c r="A296" s="191">
        <v>42</v>
      </c>
      <c r="B296" s="192">
        <f t="shared" si="25"/>
        <v>193422864.40212294</v>
      </c>
      <c r="C296" s="192">
        <f t="shared" si="26"/>
        <v>197982866.20328704</v>
      </c>
      <c r="D296" s="191">
        <f t="shared" si="27"/>
        <v>1</v>
      </c>
      <c r="E296" s="191">
        <f t="shared" si="28"/>
        <v>0</v>
      </c>
      <c r="F296" s="191">
        <f t="shared" si="29"/>
        <v>1</v>
      </c>
      <c r="G296" s="253" t="e">
        <f t="shared" ca="1" si="30"/>
        <v>#DIV/0!</v>
      </c>
      <c r="H296" s="253" t="e">
        <f ca="1">SUM($G$255:G296)</f>
        <v>#DIV/0!</v>
      </c>
    </row>
    <row r="297" spans="1:8" x14ac:dyDescent="0.25">
      <c r="A297" s="191">
        <v>43</v>
      </c>
      <c r="B297" s="192">
        <f t="shared" si="25"/>
        <v>197982866.20328704</v>
      </c>
      <c r="C297" s="192">
        <f t="shared" si="26"/>
        <v>202542868.00445113</v>
      </c>
      <c r="D297" s="191">
        <f t="shared" si="27"/>
        <v>4</v>
      </c>
      <c r="E297" s="191">
        <f t="shared" si="28"/>
        <v>0</v>
      </c>
      <c r="F297" s="191">
        <f t="shared" si="29"/>
        <v>4</v>
      </c>
      <c r="G297" s="253" t="e">
        <f t="shared" ca="1" si="30"/>
        <v>#DIV/0!</v>
      </c>
      <c r="H297" s="253" t="e">
        <f ca="1">SUM($G$255:G297)</f>
        <v>#DIV/0!</v>
      </c>
    </row>
    <row r="298" spans="1:8" x14ac:dyDescent="0.25">
      <c r="A298" s="191">
        <v>44</v>
      </c>
      <c r="B298" s="192">
        <f t="shared" si="25"/>
        <v>202542868.00445113</v>
      </c>
      <c r="C298" s="192">
        <f t="shared" si="26"/>
        <v>207102869.80561522</v>
      </c>
      <c r="D298" s="191">
        <f t="shared" si="27"/>
        <v>1</v>
      </c>
      <c r="E298" s="191">
        <f t="shared" si="28"/>
        <v>0</v>
      </c>
      <c r="F298" s="191">
        <f t="shared" si="29"/>
        <v>1</v>
      </c>
      <c r="G298" s="253" t="e">
        <f t="shared" ca="1" si="30"/>
        <v>#DIV/0!</v>
      </c>
      <c r="H298" s="253" t="e">
        <f ca="1">SUM($G$255:G298)</f>
        <v>#DIV/0!</v>
      </c>
    </row>
    <row r="299" spans="1:8" x14ac:dyDescent="0.25">
      <c r="A299" s="191">
        <v>45</v>
      </c>
      <c r="B299" s="192">
        <f t="shared" si="25"/>
        <v>207102869.80561522</v>
      </c>
      <c r="C299" s="192">
        <f t="shared" si="26"/>
        <v>211662871.60677931</v>
      </c>
      <c r="D299" s="191">
        <f t="shared" si="27"/>
        <v>0</v>
      </c>
      <c r="E299" s="191">
        <f t="shared" si="28"/>
        <v>0</v>
      </c>
      <c r="F299" s="191">
        <f t="shared" si="29"/>
        <v>0</v>
      </c>
      <c r="G299" s="253" t="e">
        <f t="shared" ca="1" si="30"/>
        <v>#DIV/0!</v>
      </c>
      <c r="H299" s="253" t="e">
        <f ca="1">SUM($G$255:G299)</f>
        <v>#DIV/0!</v>
      </c>
    </row>
    <row r="300" spans="1:8" x14ac:dyDescent="0.25">
      <c r="A300" s="191">
        <v>46</v>
      </c>
      <c r="B300" s="192">
        <f t="shared" si="25"/>
        <v>211662871.60677931</v>
      </c>
      <c r="C300" s="192">
        <f t="shared" si="26"/>
        <v>216222873.4079434</v>
      </c>
      <c r="D300" s="191">
        <f t="shared" si="27"/>
        <v>3</v>
      </c>
      <c r="E300" s="191">
        <f t="shared" si="28"/>
        <v>0</v>
      </c>
      <c r="F300" s="191">
        <f t="shared" si="29"/>
        <v>3</v>
      </c>
      <c r="G300" s="253" t="e">
        <f t="shared" ca="1" si="30"/>
        <v>#DIV/0!</v>
      </c>
      <c r="H300" s="253" t="e">
        <f ca="1">SUM($G$255:G300)</f>
        <v>#DIV/0!</v>
      </c>
    </row>
    <row r="301" spans="1:8" x14ac:dyDescent="0.25">
      <c r="A301" s="191">
        <v>47</v>
      </c>
      <c r="B301" s="192">
        <f t="shared" si="25"/>
        <v>216222873.4079434</v>
      </c>
      <c r="C301" s="192">
        <f t="shared" si="26"/>
        <v>220782875.20910749</v>
      </c>
      <c r="D301" s="191">
        <f t="shared" si="27"/>
        <v>0</v>
      </c>
      <c r="E301" s="191">
        <f t="shared" si="28"/>
        <v>0</v>
      </c>
      <c r="F301" s="191">
        <f t="shared" si="29"/>
        <v>0</v>
      </c>
      <c r="G301" s="253" t="e">
        <f t="shared" ca="1" si="30"/>
        <v>#DIV/0!</v>
      </c>
      <c r="H301" s="253" t="e">
        <f ca="1">SUM($G$255:G301)</f>
        <v>#DIV/0!</v>
      </c>
    </row>
    <row r="302" spans="1:8" x14ac:dyDescent="0.25">
      <c r="A302" s="191">
        <v>48</v>
      </c>
      <c r="B302" s="192">
        <f t="shared" si="25"/>
        <v>220782875.20910749</v>
      </c>
      <c r="C302" s="192">
        <f t="shared" si="26"/>
        <v>225342877.01027158</v>
      </c>
      <c r="D302" s="191">
        <f t="shared" si="27"/>
        <v>0</v>
      </c>
      <c r="E302" s="191">
        <f t="shared" si="28"/>
        <v>0</v>
      </c>
      <c r="F302" s="191">
        <f t="shared" si="29"/>
        <v>0</v>
      </c>
      <c r="G302" s="253" t="e">
        <f t="shared" ca="1" si="30"/>
        <v>#DIV/0!</v>
      </c>
      <c r="H302" s="253" t="e">
        <f ca="1">SUM($G$255:G302)</f>
        <v>#DIV/0!</v>
      </c>
    </row>
    <row r="303" spans="1:8" x14ac:dyDescent="0.25">
      <c r="A303" s="191">
        <v>49</v>
      </c>
      <c r="B303" s="192">
        <f t="shared" si="25"/>
        <v>225342877.01027158</v>
      </c>
      <c r="C303" s="192">
        <f t="shared" si="26"/>
        <v>229902878.81143567</v>
      </c>
      <c r="D303" s="191">
        <f t="shared" si="27"/>
        <v>1</v>
      </c>
      <c r="E303" s="191">
        <f t="shared" si="28"/>
        <v>0</v>
      </c>
      <c r="F303" s="191">
        <f t="shared" si="29"/>
        <v>1</v>
      </c>
      <c r="G303" s="253" t="e">
        <f t="shared" ca="1" si="30"/>
        <v>#DIV/0!</v>
      </c>
      <c r="H303" s="253" t="e">
        <f ca="1">SUM($G$255:G303)</f>
        <v>#DIV/0!</v>
      </c>
    </row>
    <row r="304" spans="1:8" x14ac:dyDescent="0.25">
      <c r="A304" s="191">
        <v>50</v>
      </c>
      <c r="B304" s="192">
        <f t="shared" si="25"/>
        <v>229902878.81143567</v>
      </c>
      <c r="C304" s="192">
        <f t="shared" si="26"/>
        <v>234462880.61259976</v>
      </c>
      <c r="D304" s="191">
        <f t="shared" si="27"/>
        <v>0</v>
      </c>
      <c r="E304" s="191">
        <f t="shared" si="28"/>
        <v>0</v>
      </c>
      <c r="F304" s="191">
        <f t="shared" si="29"/>
        <v>0</v>
      </c>
      <c r="G304" s="253" t="e">
        <f t="shared" ca="1" si="30"/>
        <v>#DIV/0!</v>
      </c>
      <c r="H304" s="253" t="e">
        <f ca="1">SUM($G$255:G304)</f>
        <v>#DIV/0!</v>
      </c>
    </row>
    <row r="305" spans="3:7" x14ac:dyDescent="0.25">
      <c r="C305" s="191" t="s">
        <v>163</v>
      </c>
      <c r="D305" s="187">
        <f>SUM(D255:D304)</f>
        <v>100</v>
      </c>
      <c r="E305" s="187">
        <f>SUM(E255:E304)</f>
        <v>57</v>
      </c>
      <c r="F305" s="187">
        <f>SUM(F255:F304)</f>
        <v>43</v>
      </c>
      <c r="G305" s="188" t="e">
        <f ca="1">SUM(G255:G304)</f>
        <v>#DIV/0!</v>
      </c>
    </row>
  </sheetData>
  <conditionalFormatting sqref="A149:E198">
    <cfRule type="expression" dxfId="9" priority="16">
      <formula>$B149&lt;=$B$144</formula>
    </cfRule>
  </conditionalFormatting>
  <conditionalFormatting sqref="A255:H304">
    <cfRule type="expression" dxfId="8" priority="4">
      <formula>$B255&lt;=$D$145</formula>
    </cfRule>
  </conditionalFormatting>
  <conditionalFormatting sqref="A202:H251">
    <cfRule type="expression" dxfId="7" priority="2">
      <formula>$B202&lt;=$C$145</formula>
    </cfRule>
    <cfRule type="expression" dxfId="6" priority="3">
      <formula>$B202&lt;=$C$145</formula>
    </cfRule>
  </conditionalFormatting>
  <conditionalFormatting sqref="A149:H198">
    <cfRule type="expression" dxfId="5" priority="1">
      <formula>$B149&lt;=$B$145</formula>
    </cfRule>
  </conditionalFormatting>
  <hyperlinks>
    <hyperlink ref="A1" location="Index!A1" display="Back to Index" xr:uid="{949B9A91-07BE-4F55-9B1B-6549D2112651}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79680-E687-458D-A1B5-B05AEA378E78}">
  <dimension ref="A1:I24"/>
  <sheetViews>
    <sheetView workbookViewId="0">
      <selection activeCell="F7" sqref="F7"/>
    </sheetView>
  </sheetViews>
  <sheetFormatPr defaultRowHeight="15" x14ac:dyDescent="0.25"/>
  <cols>
    <col min="1" max="1" width="9.140625" style="68"/>
    <col min="2" max="2" width="20" style="68" bestFit="1" customWidth="1"/>
    <col min="3" max="3" width="16.28515625" style="68" bestFit="1" customWidth="1"/>
    <col min="4" max="4" width="9.140625" style="68"/>
    <col min="5" max="5" width="14.28515625" style="68" bestFit="1" customWidth="1"/>
    <col min="6" max="6" width="16.28515625" style="68" bestFit="1" customWidth="1"/>
    <col min="7" max="7" width="9.140625" style="68"/>
    <col min="8" max="8" width="30.7109375" style="68" bestFit="1" customWidth="1"/>
    <col min="9" max="9" width="16.28515625" style="68" bestFit="1" customWidth="1"/>
    <col min="10" max="16384" width="9.140625" style="68"/>
  </cols>
  <sheetData>
    <row r="1" spans="1:9" s="169" customFormat="1" x14ac:dyDescent="0.25">
      <c r="A1" s="168" t="s">
        <v>5</v>
      </c>
    </row>
    <row r="2" spans="1:9" s="169" customFormat="1" x14ac:dyDescent="0.25">
      <c r="A2" s="168"/>
    </row>
    <row r="3" spans="1:9" x14ac:dyDescent="0.25">
      <c r="B3" s="309" t="s">
        <v>161</v>
      </c>
      <c r="C3" s="309"/>
      <c r="D3" s="309"/>
      <c r="E3" s="309"/>
      <c r="F3" s="309"/>
      <c r="G3" s="309"/>
      <c r="H3" s="309"/>
      <c r="I3" s="309"/>
    </row>
    <row r="4" spans="1:9" x14ac:dyDescent="0.25">
      <c r="B4" s="310" t="s">
        <v>139</v>
      </c>
      <c r="C4" s="310"/>
      <c r="D4" s="14"/>
      <c r="E4" s="310" t="s">
        <v>139</v>
      </c>
      <c r="F4" s="310"/>
      <c r="G4" s="14"/>
      <c r="H4" s="310" t="s">
        <v>139</v>
      </c>
      <c r="I4" s="310"/>
    </row>
    <row r="5" spans="1:9" x14ac:dyDescent="0.25">
      <c r="B5" s="54" t="s">
        <v>140</v>
      </c>
      <c r="C5" s="54" t="s">
        <v>141</v>
      </c>
      <c r="D5" s="15"/>
      <c r="E5" s="54" t="s">
        <v>63</v>
      </c>
      <c r="F5" s="54" t="s">
        <v>141</v>
      </c>
      <c r="G5" s="159"/>
      <c r="H5" s="54" t="s">
        <v>76</v>
      </c>
      <c r="I5" s="54" t="s">
        <v>141</v>
      </c>
    </row>
    <row r="6" spans="1:9" x14ac:dyDescent="0.25">
      <c r="B6" s="55"/>
      <c r="C6" s="58">
        <f ca="1">DCF!$B$31</f>
        <v>144607110.19529349</v>
      </c>
      <c r="D6" s="15"/>
      <c r="E6" s="55"/>
      <c r="F6" s="58">
        <f ca="1">DCF!$B$31</f>
        <v>144607110.19529349</v>
      </c>
      <c r="G6" s="159"/>
      <c r="H6" s="55"/>
      <c r="I6" s="247">
        <f ca="1">DCF!$B$31</f>
        <v>144607110.19529349</v>
      </c>
    </row>
    <row r="7" spans="1:9" x14ac:dyDescent="0.25">
      <c r="B7" s="56">
        <f>B8-0.005</f>
        <v>2.2800000000000001E-2</v>
      </c>
      <c r="C7" s="53">
        <f t="dataTable" ref="C7:C13" dt2D="0" dtr="0" r1="B6" ca="1"/>
        <v>144607110.19529349</v>
      </c>
      <c r="D7" s="159"/>
      <c r="E7" s="56">
        <f>E8-0.05</f>
        <v>0.25000000000000006</v>
      </c>
      <c r="F7" s="53">
        <f t="dataTable" ref="F7:F13" dt2D="0" dtr="0" r1="E6" ca="1"/>
        <v>144607110.19529349</v>
      </c>
      <c r="G7" s="159"/>
      <c r="H7" s="56">
        <f>H8-0.01</f>
        <v>7.5000000000000011E-2</v>
      </c>
      <c r="I7" s="53">
        <f t="dataTable" ref="I7:I13" dt2D="0" dtr="0" r1="H6" ca="1"/>
        <v>144607110.19529349</v>
      </c>
    </row>
    <row r="8" spans="1:9" x14ac:dyDescent="0.25">
      <c r="B8" s="56">
        <f>B9-0.005</f>
        <v>2.7800000000000002E-2</v>
      </c>
      <c r="C8" s="53">
        <v>144607110.19529349</v>
      </c>
      <c r="D8" s="159"/>
      <c r="E8" s="56">
        <f>E9-0.05</f>
        <v>0.30000000000000004</v>
      </c>
      <c r="F8" s="53">
        <v>144607110.19529349</v>
      </c>
      <c r="G8" s="159"/>
      <c r="H8" s="56">
        <f>H9-0.01</f>
        <v>8.5000000000000006E-2</v>
      </c>
      <c r="I8" s="53">
        <v>144607110.19529349</v>
      </c>
    </row>
    <row r="9" spans="1:9" x14ac:dyDescent="0.25">
      <c r="B9" s="56">
        <f>B10-0.005</f>
        <v>3.2800000000000003E-2</v>
      </c>
      <c r="C9" s="59">
        <v>144607110.19529349</v>
      </c>
      <c r="D9" s="159"/>
      <c r="E9" s="56">
        <f>E10-0.05</f>
        <v>0.35000000000000003</v>
      </c>
      <c r="F9" s="59">
        <v>144607110.19529349</v>
      </c>
      <c r="G9" s="159"/>
      <c r="H9" s="56">
        <f>H10-0.005</f>
        <v>9.5000000000000001E-2</v>
      </c>
      <c r="I9" s="59">
        <v>144607110.19529349</v>
      </c>
    </row>
    <row r="10" spans="1:9" x14ac:dyDescent="0.25">
      <c r="B10" s="57">
        <f>DCF!B13</f>
        <v>3.78E-2</v>
      </c>
      <c r="C10" s="59">
        <v>144607110.19529349</v>
      </c>
      <c r="D10" s="17"/>
      <c r="E10" s="57">
        <f>DCF!B9</f>
        <v>0.4</v>
      </c>
      <c r="F10" s="59">
        <v>144607110.19529349</v>
      </c>
      <c r="G10" s="17"/>
      <c r="H10" s="57">
        <f>DCF!B10</f>
        <v>0.1</v>
      </c>
      <c r="I10" s="59">
        <v>144607110.19529349</v>
      </c>
    </row>
    <row r="11" spans="1:9" x14ac:dyDescent="0.25">
      <c r="B11" s="56">
        <f>B10+0.005</f>
        <v>4.2799999999999998E-2</v>
      </c>
      <c r="C11" s="53">
        <v>144607110.19529349</v>
      </c>
      <c r="D11" s="18"/>
      <c r="E11" s="56">
        <f>E10+0.05</f>
        <v>0.45</v>
      </c>
      <c r="F11" s="53">
        <v>144607110.19529349</v>
      </c>
      <c r="G11" s="18"/>
      <c r="H11" s="56">
        <f>H10+0.01</f>
        <v>0.11</v>
      </c>
      <c r="I11" s="53">
        <v>144607110.19529349</v>
      </c>
    </row>
    <row r="12" spans="1:9" x14ac:dyDescent="0.25">
      <c r="B12" s="56">
        <f>B11+0.005</f>
        <v>4.7799999999999995E-2</v>
      </c>
      <c r="C12" s="53">
        <v>144607110.19529349</v>
      </c>
      <c r="D12" s="18"/>
      <c r="E12" s="56">
        <f>E11+0.05</f>
        <v>0.5</v>
      </c>
      <c r="F12" s="53">
        <v>144607110.19529349</v>
      </c>
      <c r="G12" s="18"/>
      <c r="H12" s="56">
        <f>H11+0.01</f>
        <v>0.12</v>
      </c>
      <c r="I12" s="53">
        <v>144607110.19529349</v>
      </c>
    </row>
    <row r="13" spans="1:9" x14ac:dyDescent="0.25">
      <c r="B13" s="56">
        <f>B12+0.005</f>
        <v>5.2799999999999993E-2</v>
      </c>
      <c r="C13" s="53">
        <v>144607110.19529349</v>
      </c>
      <c r="D13" s="17"/>
      <c r="E13" s="56">
        <f>E12+0.05</f>
        <v>0.55000000000000004</v>
      </c>
      <c r="F13" s="53">
        <v>144607110.19529349</v>
      </c>
      <c r="G13" s="17"/>
      <c r="H13" s="56">
        <f>H12+0.01</f>
        <v>0.13</v>
      </c>
      <c r="I13" s="53">
        <v>144607110.19529349</v>
      </c>
    </row>
    <row r="14" spans="1:9" x14ac:dyDescent="0.25">
      <c r="B14" s="249"/>
      <c r="C14" s="14"/>
      <c r="D14" s="14"/>
      <c r="E14" s="14"/>
      <c r="F14" s="14"/>
      <c r="G14" s="14"/>
      <c r="H14" s="156"/>
      <c r="I14" s="156"/>
    </row>
    <row r="15" spans="1:9" x14ac:dyDescent="0.25">
      <c r="B15" s="167" t="s">
        <v>139</v>
      </c>
      <c r="C15" s="167"/>
      <c r="D15" s="158"/>
      <c r="E15" s="167" t="s">
        <v>139</v>
      </c>
      <c r="F15" s="167"/>
      <c r="G15" s="161"/>
      <c r="H15" s="167" t="s">
        <v>139</v>
      </c>
      <c r="I15" s="167"/>
    </row>
    <row r="16" spans="1:9" x14ac:dyDescent="0.25">
      <c r="B16" s="56" t="s">
        <v>81</v>
      </c>
      <c r="C16" s="59" t="s">
        <v>141</v>
      </c>
      <c r="D16" s="158"/>
      <c r="E16" s="274" t="s">
        <v>136</v>
      </c>
      <c r="F16" s="54" t="s">
        <v>141</v>
      </c>
      <c r="G16" s="165"/>
      <c r="H16" s="57" t="str">
        <f>DCF!A12</f>
        <v>Weighted Average Cost of Equity</v>
      </c>
      <c r="I16" s="54" t="s">
        <v>141</v>
      </c>
    </row>
    <row r="17" spans="2:9" x14ac:dyDescent="0.25">
      <c r="B17" s="222"/>
      <c r="C17" s="59">
        <f ca="1">DCF!B31</f>
        <v>144607110.19529349</v>
      </c>
      <c r="D17" s="158"/>
      <c r="E17" s="55"/>
      <c r="F17" s="58">
        <f ca="1">DCF!$B$31</f>
        <v>144607110.19529349</v>
      </c>
      <c r="G17" s="165"/>
      <c r="H17" s="55"/>
      <c r="I17" s="58">
        <f ca="1">DCF!$B$31</f>
        <v>144607110.19529349</v>
      </c>
    </row>
    <row r="18" spans="2:9" x14ac:dyDescent="0.25">
      <c r="B18" s="56">
        <f>B19-0.01</f>
        <v>5.7400000000000014E-2</v>
      </c>
      <c r="C18" s="53">
        <f t="dataTable" ref="C18:C24" dt2D="0" dtr="0" r1="B17" ca="1"/>
        <v>144607110.19529349</v>
      </c>
      <c r="D18" s="161"/>
      <c r="E18" s="56">
        <f>E19-0.01</f>
        <v>1.8749999999999996E-2</v>
      </c>
      <c r="F18" s="53">
        <f t="dataTable" ref="F18:F24" dt2D="0" dtr="0" r1="E17" ca="1"/>
        <v>144607110.19529349</v>
      </c>
      <c r="G18" s="161"/>
      <c r="H18" s="56">
        <f>H19-0.01</f>
        <v>6.8700000000000011E-2</v>
      </c>
      <c r="I18" s="53">
        <f t="dataTable" ref="I18:I24" dt2D="0" dtr="0" r1="H17" ca="1"/>
        <v>144607110.19529349</v>
      </c>
    </row>
    <row r="19" spans="2:9" x14ac:dyDescent="0.25">
      <c r="B19" s="56">
        <f>B20-0.01</f>
        <v>6.7400000000000015E-2</v>
      </c>
      <c r="C19" s="53">
        <v>144607110.19529349</v>
      </c>
      <c r="D19" s="161"/>
      <c r="E19" s="56">
        <f>E20-0.01</f>
        <v>2.8749999999999998E-2</v>
      </c>
      <c r="F19" s="53">
        <v>144607110.19529349</v>
      </c>
      <c r="G19" s="161"/>
      <c r="H19" s="56">
        <f>H20-0.01</f>
        <v>7.8700000000000006E-2</v>
      </c>
      <c r="I19" s="53">
        <v>144607110.19529349</v>
      </c>
    </row>
    <row r="20" spans="2:9" x14ac:dyDescent="0.25">
      <c r="B20" s="56">
        <f>B21-0.01</f>
        <v>7.740000000000001E-2</v>
      </c>
      <c r="C20" s="53">
        <v>144607110.19529349</v>
      </c>
      <c r="D20" s="161"/>
      <c r="E20" s="56">
        <f>E21-0.01</f>
        <v>3.875E-2</v>
      </c>
      <c r="F20" s="59">
        <v>144607110.19529349</v>
      </c>
      <c r="G20" s="161"/>
      <c r="H20" s="56">
        <f>H21-0.005</f>
        <v>8.8700000000000001E-2</v>
      </c>
      <c r="I20" s="59">
        <v>144607110.19529349</v>
      </c>
    </row>
    <row r="21" spans="2:9" x14ac:dyDescent="0.25">
      <c r="B21" s="56">
        <f>DCF!B11</f>
        <v>8.7400000000000005E-2</v>
      </c>
      <c r="C21" s="53">
        <v>144607110.19529349</v>
      </c>
      <c r="D21" s="159"/>
      <c r="E21" s="57">
        <f>Financing!B4</f>
        <v>4.8750000000000002E-2</v>
      </c>
      <c r="F21" s="59">
        <v>144607110.19529349</v>
      </c>
      <c r="G21" s="159"/>
      <c r="H21" s="57">
        <f>DCF!B12</f>
        <v>9.3700000000000006E-2</v>
      </c>
      <c r="I21" s="59">
        <v>144607110.19529349</v>
      </c>
    </row>
    <row r="22" spans="2:9" x14ac:dyDescent="0.25">
      <c r="B22" s="56">
        <f>B21+0.01</f>
        <v>9.74E-2</v>
      </c>
      <c r="C22" s="53">
        <v>144607110.19529349</v>
      </c>
      <c r="D22" s="258"/>
      <c r="E22" s="56">
        <f>E21+0.01</f>
        <v>5.8750000000000004E-2</v>
      </c>
      <c r="F22" s="53">
        <v>144607110.19529349</v>
      </c>
      <c r="G22" s="258"/>
      <c r="H22" s="56">
        <f>H21+0.01</f>
        <v>0.1037</v>
      </c>
      <c r="I22" s="53">
        <v>144607110.19529349</v>
      </c>
    </row>
    <row r="23" spans="2:9" x14ac:dyDescent="0.25">
      <c r="B23" s="56">
        <f>B22+0.01</f>
        <v>0.1074</v>
      </c>
      <c r="C23" s="53">
        <v>144607110.19529349</v>
      </c>
      <c r="D23" s="258"/>
      <c r="E23" s="56">
        <f>E22+0.01</f>
        <v>6.8750000000000006E-2</v>
      </c>
      <c r="F23" s="53">
        <v>144607110.19529349</v>
      </c>
      <c r="G23" s="258"/>
      <c r="H23" s="56">
        <f>H22+0.01</f>
        <v>0.1137</v>
      </c>
      <c r="I23" s="53">
        <v>144607110.19529349</v>
      </c>
    </row>
    <row r="24" spans="2:9" x14ac:dyDescent="0.25">
      <c r="B24" s="56">
        <f>B23+0.01</f>
        <v>0.11739999999999999</v>
      </c>
      <c r="C24" s="53">
        <v>144607110.19529349</v>
      </c>
      <c r="D24" s="263"/>
      <c r="E24" s="56">
        <f>E23+0.01</f>
        <v>7.8750000000000001E-2</v>
      </c>
      <c r="F24" s="53">
        <v>144607110.19529349</v>
      </c>
      <c r="G24" s="258"/>
      <c r="H24" s="56">
        <f>H23+0.01</f>
        <v>0.12369999999999999</v>
      </c>
      <c r="I24" s="53">
        <v>144607110.19529349</v>
      </c>
    </row>
  </sheetData>
  <mergeCells count="4">
    <mergeCell ref="B3:I3"/>
    <mergeCell ref="B4:C4"/>
    <mergeCell ref="E4:F4"/>
    <mergeCell ref="H4:I4"/>
  </mergeCells>
  <hyperlinks>
    <hyperlink ref="A1" location="Index!A1" display="Back to Index" xr:uid="{6297E9BE-EA2D-4702-A53F-50A91686FFF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44546-3849-4EEB-9043-475B09201D57}">
  <sheetPr codeName="Sheet9"/>
  <dimension ref="A1:S35"/>
  <sheetViews>
    <sheetView showGridLines="0" zoomScale="85" zoomScaleNormal="85" workbookViewId="0">
      <selection activeCell="N38" sqref="N38"/>
    </sheetView>
  </sheetViews>
  <sheetFormatPr defaultRowHeight="15" x14ac:dyDescent="0.25"/>
  <cols>
    <col min="1" max="1" width="9.140625" style="68"/>
    <col min="2" max="2" width="18.140625" style="68" bestFit="1" customWidth="1"/>
    <col min="3" max="4" width="18" style="68" bestFit="1" customWidth="1"/>
    <col min="5" max="5" width="6.140625" style="68" bestFit="1" customWidth="1"/>
    <col min="6" max="11" width="9.140625" style="68"/>
    <col min="12" max="12" width="22.5703125" style="68" bestFit="1" customWidth="1"/>
    <col min="13" max="13" width="9.140625" style="68"/>
    <col min="14" max="14" width="26.5703125" style="68" bestFit="1" customWidth="1"/>
    <col min="15" max="15" width="9.140625" style="68"/>
    <col min="16" max="16" width="23.85546875" style="68" bestFit="1" customWidth="1"/>
    <col min="17" max="17" width="9.140625" style="68"/>
    <col min="18" max="18" width="27" style="68" bestFit="1" customWidth="1"/>
    <col min="19" max="16384" width="9.140625" style="68"/>
  </cols>
  <sheetData>
    <row r="1" spans="1:19" s="169" customFormat="1" x14ac:dyDescent="0.25">
      <c r="A1" s="168" t="s">
        <v>5</v>
      </c>
      <c r="C1" s="171"/>
    </row>
    <row r="2" spans="1:19" s="169" customFormat="1" x14ac:dyDescent="0.25">
      <c r="A2" s="168"/>
      <c r="C2" s="171"/>
    </row>
    <row r="3" spans="1:19" x14ac:dyDescent="0.25">
      <c r="L3" s="283"/>
      <c r="M3" s="283"/>
      <c r="N3" s="283"/>
      <c r="O3" s="283"/>
      <c r="P3" s="283"/>
      <c r="Q3" s="283"/>
      <c r="R3" s="283"/>
      <c r="S3" s="283"/>
    </row>
    <row r="4" spans="1:19" x14ac:dyDescent="0.25">
      <c r="B4" s="311" t="s">
        <v>43</v>
      </c>
      <c r="C4" s="312"/>
      <c r="D4" s="312"/>
      <c r="E4" s="312"/>
      <c r="F4" s="312"/>
      <c r="G4" s="36" t="s">
        <v>47</v>
      </c>
      <c r="L4" s="283"/>
      <c r="M4" s="283"/>
      <c r="N4" s="283"/>
      <c r="O4" s="283"/>
      <c r="P4" s="283"/>
      <c r="Q4" s="283"/>
      <c r="R4" s="283"/>
      <c r="S4" s="283"/>
    </row>
    <row r="5" spans="1:19" x14ac:dyDescent="0.25">
      <c r="B5" s="314" t="s">
        <v>9</v>
      </c>
      <c r="C5" s="315"/>
      <c r="D5" s="316">
        <v>277135257</v>
      </c>
      <c r="E5" s="316"/>
      <c r="F5" s="316"/>
      <c r="G5" s="37" t="s">
        <v>58</v>
      </c>
      <c r="L5" s="270"/>
      <c r="M5" s="283"/>
      <c r="N5" s="270"/>
      <c r="O5" s="283"/>
      <c r="P5" s="284"/>
      <c r="Q5" s="283"/>
      <c r="R5" s="284"/>
      <c r="S5" s="283"/>
    </row>
    <row r="6" spans="1:19" x14ac:dyDescent="0.25">
      <c r="B6" s="314" t="s">
        <v>10</v>
      </c>
      <c r="C6" s="315"/>
      <c r="D6" s="316">
        <v>46208200</v>
      </c>
      <c r="E6" s="316"/>
      <c r="F6" s="316"/>
      <c r="G6" s="37" t="s">
        <v>58</v>
      </c>
      <c r="L6" s="283"/>
      <c r="M6" s="283"/>
      <c r="N6" s="283"/>
      <c r="O6" s="283"/>
      <c r="P6" s="283"/>
      <c r="Q6" s="283"/>
      <c r="R6" s="283"/>
      <c r="S6" s="283"/>
    </row>
    <row r="7" spans="1:19" x14ac:dyDescent="0.25">
      <c r="B7" s="314" t="s">
        <v>11</v>
      </c>
      <c r="C7" s="315"/>
      <c r="D7" s="316">
        <v>433748762</v>
      </c>
      <c r="E7" s="316"/>
      <c r="F7" s="316"/>
      <c r="G7" s="37" t="s">
        <v>58</v>
      </c>
      <c r="L7" s="283"/>
      <c r="M7" s="283"/>
      <c r="N7" s="283"/>
      <c r="O7" s="283"/>
      <c r="P7" s="283"/>
      <c r="Q7" s="283"/>
      <c r="R7" s="283"/>
      <c r="S7" s="283"/>
    </row>
    <row r="8" spans="1:19" x14ac:dyDescent="0.25">
      <c r="B8" s="314" t="s">
        <v>12</v>
      </c>
      <c r="C8" s="315"/>
      <c r="D8" s="316">
        <v>1020964</v>
      </c>
      <c r="E8" s="316"/>
      <c r="F8" s="316"/>
      <c r="G8" s="37" t="s">
        <v>58</v>
      </c>
      <c r="L8" s="283"/>
      <c r="M8" s="283"/>
      <c r="N8" s="283"/>
      <c r="O8" s="283"/>
      <c r="P8" s="283"/>
      <c r="Q8" s="283"/>
      <c r="R8" s="283"/>
      <c r="S8" s="283"/>
    </row>
    <row r="9" spans="1:19" x14ac:dyDescent="0.25">
      <c r="B9" s="317" t="s">
        <v>13</v>
      </c>
      <c r="C9" s="318"/>
      <c r="D9" s="319">
        <v>1851270423</v>
      </c>
      <c r="E9" s="319"/>
      <c r="F9" s="319"/>
      <c r="G9" s="37" t="s">
        <v>58</v>
      </c>
      <c r="L9" s="283"/>
      <c r="M9" s="283"/>
      <c r="N9" s="283"/>
      <c r="O9" s="283"/>
      <c r="P9" s="283"/>
      <c r="Q9" s="283"/>
      <c r="R9" s="283"/>
      <c r="S9" s="283"/>
    </row>
    <row r="10" spans="1:19" x14ac:dyDescent="0.25">
      <c r="C10" s="101"/>
      <c r="D10" s="101"/>
      <c r="G10" s="37"/>
      <c r="H10" s="90"/>
      <c r="L10" s="270"/>
      <c r="M10" s="283"/>
      <c r="N10" s="270"/>
      <c r="O10" s="283"/>
      <c r="P10" s="284"/>
      <c r="Q10" s="283"/>
      <c r="R10" s="283"/>
      <c r="S10" s="283"/>
    </row>
    <row r="11" spans="1:19" x14ac:dyDescent="0.25">
      <c r="B11" s="311" t="s">
        <v>44</v>
      </c>
      <c r="C11" s="312"/>
      <c r="D11" s="312"/>
      <c r="E11" s="312"/>
      <c r="F11" s="312"/>
      <c r="G11" s="37"/>
      <c r="L11" s="283"/>
      <c r="M11" s="283"/>
      <c r="N11" s="283"/>
      <c r="O11" s="283"/>
      <c r="P11" s="283"/>
      <c r="Q11" s="283"/>
      <c r="R11" s="283"/>
      <c r="S11" s="283"/>
    </row>
    <row r="12" spans="1:19" x14ac:dyDescent="0.25">
      <c r="B12" s="314" t="s">
        <v>9</v>
      </c>
      <c r="C12" s="315"/>
      <c r="D12" s="316">
        <v>115094325</v>
      </c>
      <c r="E12" s="316"/>
      <c r="F12" s="316"/>
      <c r="G12" s="37" t="s">
        <v>58</v>
      </c>
      <c r="L12" s="283"/>
      <c r="M12" s="283"/>
      <c r="N12" s="283"/>
      <c r="O12" s="283"/>
      <c r="P12" s="283"/>
      <c r="Q12" s="283"/>
      <c r="R12" s="283"/>
      <c r="S12" s="283"/>
    </row>
    <row r="13" spans="1:19" x14ac:dyDescent="0.25">
      <c r="B13" s="314" t="s">
        <v>10</v>
      </c>
      <c r="C13" s="315"/>
      <c r="D13" s="316">
        <v>50518000</v>
      </c>
      <c r="E13" s="316"/>
      <c r="F13" s="316"/>
      <c r="G13" s="37" t="s">
        <v>58</v>
      </c>
      <c r="L13" s="283"/>
      <c r="M13" s="283"/>
      <c r="N13" s="283"/>
      <c r="O13" s="283"/>
      <c r="P13" s="283"/>
      <c r="Q13" s="283"/>
      <c r="R13" s="283"/>
      <c r="S13" s="283"/>
    </row>
    <row r="14" spans="1:19" x14ac:dyDescent="0.25">
      <c r="B14" s="314" t="s">
        <v>11</v>
      </c>
      <c r="C14" s="315"/>
      <c r="D14" s="316">
        <v>129044532</v>
      </c>
      <c r="E14" s="316"/>
      <c r="F14" s="316"/>
      <c r="G14" s="37" t="s">
        <v>58</v>
      </c>
      <c r="L14" s="283"/>
      <c r="M14" s="283"/>
      <c r="N14" s="283"/>
      <c r="O14" s="283"/>
      <c r="P14" s="283"/>
      <c r="Q14" s="283"/>
      <c r="R14" s="283"/>
      <c r="S14" s="283"/>
    </row>
    <row r="15" spans="1:19" x14ac:dyDescent="0.25">
      <c r="B15" s="314" t="s">
        <v>12</v>
      </c>
      <c r="C15" s="315"/>
      <c r="D15" s="316">
        <v>7000</v>
      </c>
      <c r="E15" s="316"/>
      <c r="F15" s="316"/>
      <c r="G15" s="37" t="s">
        <v>58</v>
      </c>
      <c r="H15" s="285"/>
      <c r="L15" s="270"/>
      <c r="M15" s="283"/>
      <c r="N15" s="270"/>
      <c r="O15" s="283"/>
      <c r="P15" s="286"/>
      <c r="Q15" s="283"/>
      <c r="R15" s="286"/>
      <c r="S15" s="283"/>
    </row>
    <row r="16" spans="1:19" x14ac:dyDescent="0.25">
      <c r="B16" s="317" t="s">
        <v>13</v>
      </c>
      <c r="C16" s="318"/>
      <c r="D16" s="319">
        <v>475560000</v>
      </c>
      <c r="E16" s="319"/>
      <c r="F16" s="319"/>
      <c r="G16" s="37" t="s">
        <v>58</v>
      </c>
      <c r="H16" s="287"/>
      <c r="L16" s="283"/>
      <c r="M16" s="283"/>
      <c r="N16" s="283"/>
      <c r="O16" s="283"/>
      <c r="P16" s="283"/>
      <c r="Q16" s="283"/>
      <c r="R16" s="283"/>
      <c r="S16" s="283"/>
    </row>
    <row r="17" spans="2:19" ht="15.75" customHeight="1" x14ac:dyDescent="0.25">
      <c r="D17" s="98"/>
      <c r="G17" s="37"/>
      <c r="H17" s="288"/>
      <c r="L17" s="283"/>
      <c r="M17" s="283"/>
      <c r="N17" s="283"/>
      <c r="O17" s="283"/>
      <c r="P17" s="283"/>
      <c r="Q17" s="283"/>
      <c r="R17" s="283"/>
      <c r="S17" s="283"/>
    </row>
    <row r="18" spans="2:19" x14ac:dyDescent="0.25">
      <c r="B18" s="311" t="s">
        <v>148</v>
      </c>
      <c r="C18" s="312"/>
      <c r="D18" s="312"/>
      <c r="E18" s="312"/>
      <c r="F18" s="312"/>
      <c r="G18" s="37"/>
      <c r="L18" s="283"/>
      <c r="M18" s="283"/>
      <c r="N18" s="283"/>
      <c r="O18" s="283"/>
      <c r="P18" s="283"/>
      <c r="Q18" s="283"/>
      <c r="R18" s="283"/>
      <c r="S18" s="283"/>
    </row>
    <row r="19" spans="2:19" x14ac:dyDescent="0.25">
      <c r="B19" s="116" t="s">
        <v>152</v>
      </c>
      <c r="D19" s="275" t="s">
        <v>42</v>
      </c>
      <c r="E19" s="276" t="s">
        <v>37</v>
      </c>
      <c r="F19" s="276"/>
      <c r="G19" s="185"/>
      <c r="L19" s="283"/>
      <c r="M19" s="283"/>
      <c r="N19" s="283"/>
      <c r="O19" s="283"/>
      <c r="P19" s="283"/>
      <c r="Q19" s="283"/>
      <c r="R19" s="283"/>
      <c r="S19" s="283"/>
    </row>
    <row r="20" spans="2:19" x14ac:dyDescent="0.25">
      <c r="B20" s="116" t="s">
        <v>170</v>
      </c>
      <c r="D20" s="277">
        <v>0</v>
      </c>
      <c r="E20" s="278">
        <v>0</v>
      </c>
      <c r="F20" s="279"/>
      <c r="G20" s="185"/>
      <c r="L20" s="283"/>
      <c r="M20" s="283"/>
      <c r="N20" s="283"/>
      <c r="O20" s="283"/>
      <c r="P20" s="283"/>
      <c r="Q20" s="283"/>
      <c r="R20" s="283"/>
      <c r="S20" s="283"/>
    </row>
    <row r="21" spans="2:19" x14ac:dyDescent="0.25">
      <c r="B21" s="116" t="s">
        <v>45</v>
      </c>
      <c r="D21" s="277">
        <v>0</v>
      </c>
      <c r="E21" s="278">
        <v>7.0000000000000007E-2</v>
      </c>
      <c r="F21" s="278"/>
      <c r="G21" s="37" t="s">
        <v>58</v>
      </c>
      <c r="L21" s="270"/>
      <c r="M21" s="283"/>
      <c r="N21" s="270"/>
      <c r="O21" s="283"/>
      <c r="P21" s="284"/>
      <c r="Q21" s="283"/>
      <c r="R21" s="284"/>
      <c r="S21" s="283"/>
    </row>
    <row r="22" spans="2:19" x14ac:dyDescent="0.25">
      <c r="B22" s="117" t="s">
        <v>14</v>
      </c>
      <c r="C22" s="77"/>
      <c r="D22" s="280">
        <v>0.35</v>
      </c>
      <c r="E22" s="83">
        <v>0.45</v>
      </c>
      <c r="F22" s="83"/>
      <c r="G22" s="37" t="s">
        <v>58</v>
      </c>
      <c r="L22" s="283"/>
      <c r="M22" s="283"/>
      <c r="N22" s="283"/>
      <c r="O22" s="283"/>
      <c r="P22" s="283"/>
      <c r="Q22" s="283"/>
      <c r="R22" s="283"/>
      <c r="S22" s="283"/>
    </row>
    <row r="23" spans="2:19" ht="15" customHeight="1" x14ac:dyDescent="0.25">
      <c r="C23" s="256"/>
      <c r="D23" s="98"/>
      <c r="G23" s="37"/>
      <c r="L23" s="283"/>
      <c r="M23" s="283"/>
      <c r="N23" s="283"/>
      <c r="O23" s="283"/>
      <c r="P23" s="283"/>
      <c r="Q23" s="283"/>
      <c r="R23" s="283"/>
      <c r="S23" s="283"/>
    </row>
    <row r="24" spans="2:19" x14ac:dyDescent="0.25">
      <c r="B24" s="311" t="s">
        <v>15</v>
      </c>
      <c r="C24" s="312"/>
      <c r="D24" s="312"/>
      <c r="E24" s="312"/>
      <c r="F24" s="312"/>
      <c r="G24" s="37"/>
      <c r="L24" s="283"/>
      <c r="M24" s="283"/>
      <c r="N24" s="283"/>
      <c r="O24" s="283"/>
      <c r="P24" s="283"/>
      <c r="Q24" s="283"/>
      <c r="R24" s="283"/>
      <c r="S24" s="283"/>
    </row>
    <row r="25" spans="2:19" x14ac:dyDescent="0.25">
      <c r="B25" s="116" t="s">
        <v>152</v>
      </c>
      <c r="D25" s="275" t="s">
        <v>42</v>
      </c>
      <c r="E25" s="276" t="s">
        <v>37</v>
      </c>
      <c r="F25" s="276"/>
      <c r="G25" s="37"/>
      <c r="L25" s="270"/>
      <c r="M25" s="283"/>
      <c r="N25" s="270"/>
      <c r="O25" s="283"/>
      <c r="P25" s="289"/>
      <c r="Q25" s="283"/>
      <c r="R25" s="289"/>
      <c r="S25" s="283"/>
    </row>
    <row r="26" spans="2:19" x14ac:dyDescent="0.25">
      <c r="B26" s="116" t="s">
        <v>170</v>
      </c>
      <c r="D26" s="277">
        <v>0</v>
      </c>
      <c r="E26" s="277">
        <v>0</v>
      </c>
      <c r="F26" s="281"/>
      <c r="G26" s="37"/>
      <c r="L26" s="270"/>
      <c r="M26" s="283"/>
      <c r="N26" s="270"/>
      <c r="O26" s="283"/>
      <c r="P26" s="289"/>
      <c r="Q26" s="283"/>
      <c r="R26" s="289"/>
      <c r="S26" s="283"/>
    </row>
    <row r="27" spans="2:19" x14ac:dyDescent="0.25">
      <c r="B27" s="116" t="s">
        <v>45</v>
      </c>
      <c r="D27" s="277">
        <v>-0.03</v>
      </c>
      <c r="E27" s="278">
        <v>0.18</v>
      </c>
      <c r="F27" s="278"/>
      <c r="G27" s="37" t="s">
        <v>58</v>
      </c>
      <c r="L27" s="283"/>
      <c r="M27" s="283"/>
      <c r="N27" s="283"/>
      <c r="O27" s="283"/>
      <c r="P27" s="283"/>
      <c r="Q27" s="283"/>
      <c r="R27" s="283"/>
      <c r="S27" s="283"/>
    </row>
    <row r="28" spans="2:19" x14ac:dyDescent="0.25">
      <c r="B28" s="117" t="s">
        <v>14</v>
      </c>
      <c r="C28" s="77"/>
      <c r="D28" s="280">
        <v>-0.33</v>
      </c>
      <c r="E28" s="83">
        <v>0.68</v>
      </c>
      <c r="F28" s="83"/>
      <c r="G28" s="38" t="s">
        <v>58</v>
      </c>
      <c r="L28" s="283"/>
      <c r="M28" s="283"/>
      <c r="N28" s="283"/>
      <c r="O28" s="283"/>
      <c r="P28" s="283"/>
      <c r="Q28" s="283"/>
      <c r="R28" s="283"/>
      <c r="S28" s="283"/>
    </row>
    <row r="29" spans="2:19" x14ac:dyDescent="0.25">
      <c r="C29" s="98"/>
      <c r="L29" s="283"/>
      <c r="M29" s="283"/>
      <c r="N29" s="283"/>
      <c r="O29" s="283"/>
    </row>
    <row r="30" spans="2:19" x14ac:dyDescent="0.25">
      <c r="C30" s="98"/>
      <c r="L30" s="282"/>
      <c r="M30" s="283"/>
      <c r="N30" s="290"/>
      <c r="O30" s="283"/>
    </row>
    <row r="31" spans="2:19" x14ac:dyDescent="0.25">
      <c r="B31" s="313" t="s">
        <v>170</v>
      </c>
      <c r="C31" s="313"/>
      <c r="L31" s="283"/>
      <c r="M31" s="283"/>
      <c r="N31" s="283"/>
      <c r="O31" s="283"/>
    </row>
    <row r="32" spans="2:19" x14ac:dyDescent="0.25">
      <c r="C32" s="98"/>
      <c r="L32" s="283"/>
      <c r="M32" s="283"/>
      <c r="N32" s="283"/>
      <c r="O32" s="283"/>
    </row>
    <row r="33" spans="3:15" x14ac:dyDescent="0.25">
      <c r="C33" s="98"/>
      <c r="L33" s="283"/>
      <c r="M33" s="283"/>
      <c r="N33" s="283"/>
      <c r="O33" s="283"/>
    </row>
    <row r="34" spans="3:15" x14ac:dyDescent="0.25">
      <c r="C34" s="98"/>
      <c r="L34" s="283"/>
      <c r="M34" s="283"/>
      <c r="N34" s="283"/>
      <c r="O34" s="283"/>
    </row>
    <row r="35" spans="3:15" x14ac:dyDescent="0.25">
      <c r="C35" s="98"/>
      <c r="L35" s="290"/>
      <c r="M35" s="283"/>
      <c r="N35" s="290"/>
      <c r="O35" s="283"/>
    </row>
  </sheetData>
  <mergeCells count="25">
    <mergeCell ref="B9:C9"/>
    <mergeCell ref="B12:C12"/>
    <mergeCell ref="B13:C13"/>
    <mergeCell ref="B18:F18"/>
    <mergeCell ref="B14:C14"/>
    <mergeCell ref="D14:F14"/>
    <mergeCell ref="D15:F15"/>
    <mergeCell ref="D12:F12"/>
    <mergeCell ref="D13:F13"/>
    <mergeCell ref="B24:F24"/>
    <mergeCell ref="B31:C31"/>
    <mergeCell ref="B4:F4"/>
    <mergeCell ref="B5:C5"/>
    <mergeCell ref="B6:C6"/>
    <mergeCell ref="B7:C7"/>
    <mergeCell ref="B8:C8"/>
    <mergeCell ref="D5:F5"/>
    <mergeCell ref="D6:F6"/>
    <mergeCell ref="D7:F7"/>
    <mergeCell ref="D8:F8"/>
    <mergeCell ref="B15:C15"/>
    <mergeCell ref="B16:C16"/>
    <mergeCell ref="D16:F16"/>
    <mergeCell ref="D9:F9"/>
    <mergeCell ref="B11:F11"/>
  </mergeCells>
  <dataValidations count="1">
    <dataValidation type="list" allowBlank="1" showInputMessage="1" showErrorMessage="1" sqref="B31" xr:uid="{83C5E094-B5B0-473B-95DA-923B02555093}">
      <formula1>$B$19:$B$22</formula1>
    </dataValidation>
  </dataValidations>
  <hyperlinks>
    <hyperlink ref="A1" location="Index!A1" display="Back to Index" xr:uid="{EC927F09-15A2-41A8-B6C4-2A4A2277715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DBA4C-4523-4CD1-8C23-5CC2FDDB7A88}">
  <sheetPr codeName="Sheet10"/>
  <dimension ref="A1:M67"/>
  <sheetViews>
    <sheetView showGridLines="0" zoomScale="85" zoomScaleNormal="85" workbookViewId="0">
      <selection activeCell="B31" sqref="B31"/>
    </sheetView>
  </sheetViews>
  <sheetFormatPr defaultRowHeight="15" x14ac:dyDescent="0.25"/>
  <cols>
    <col min="1" max="1" width="35.7109375" style="68" bestFit="1" customWidth="1"/>
    <col min="2" max="2" width="19" style="68" bestFit="1" customWidth="1"/>
    <col min="3" max="3" width="21.140625" style="68" bestFit="1" customWidth="1"/>
    <col min="4" max="4" width="17" style="68" bestFit="1" customWidth="1"/>
    <col min="5" max="5" width="20.42578125" style="68" bestFit="1" customWidth="1"/>
    <col min="6" max="7" width="16.42578125" style="68" bestFit="1" customWidth="1"/>
    <col min="8" max="8" width="19.140625" style="68" bestFit="1" customWidth="1"/>
    <col min="9" max="9" width="30.28515625" style="68" bestFit="1" customWidth="1"/>
    <col min="10" max="10" width="9.140625" style="68"/>
    <col min="11" max="11" width="12.7109375" style="68" bestFit="1" customWidth="1"/>
    <col min="12" max="16384" width="9.140625" style="68"/>
  </cols>
  <sheetData>
    <row r="1" spans="1:13" s="169" customFormat="1" x14ac:dyDescent="0.25">
      <c r="A1" s="168" t="s">
        <v>5</v>
      </c>
    </row>
    <row r="2" spans="1:13" s="169" customFormat="1" x14ac:dyDescent="0.25">
      <c r="A2" s="168"/>
    </row>
    <row r="3" spans="1:13" x14ac:dyDescent="0.25">
      <c r="A3" s="122" t="s">
        <v>8</v>
      </c>
      <c r="B3" s="77"/>
      <c r="C3" s="77"/>
      <c r="D3" s="77"/>
      <c r="E3" s="77"/>
      <c r="F3" s="77"/>
      <c r="G3" s="77"/>
      <c r="H3" s="77"/>
      <c r="I3" s="172"/>
    </row>
    <row r="4" spans="1:13" x14ac:dyDescent="0.25">
      <c r="A4" s="102"/>
      <c r="I4" s="173" t="s">
        <v>47</v>
      </c>
    </row>
    <row r="5" spans="1:13" x14ac:dyDescent="0.25">
      <c r="A5" s="91" t="s">
        <v>7</v>
      </c>
      <c r="B5" s="123">
        <f ca="1">TODAY()</f>
        <v>45821</v>
      </c>
      <c r="C5" s="119">
        <v>45291</v>
      </c>
      <c r="D5" s="119">
        <f>EDATE(C5,12)</f>
        <v>45657</v>
      </c>
      <c r="E5" s="119">
        <f>EDATE(D5,12)</f>
        <v>46022</v>
      </c>
      <c r="F5" s="119">
        <f>EDATE(E5,12)</f>
        <v>46387</v>
      </c>
      <c r="G5" s="119">
        <f>EDATE(F5,12)</f>
        <v>46752</v>
      </c>
      <c r="H5" s="119">
        <f>EDATE(G5,12)</f>
        <v>47118</v>
      </c>
      <c r="I5" s="173"/>
    </row>
    <row r="6" spans="1:13" x14ac:dyDescent="0.25">
      <c r="A6" s="13" t="s">
        <v>23</v>
      </c>
      <c r="B6" s="98">
        <v>0</v>
      </c>
      <c r="C6" s="98">
        <v>0</v>
      </c>
      <c r="D6" s="98">
        <v>0</v>
      </c>
      <c r="E6" s="98">
        <v>0</v>
      </c>
      <c r="F6" s="98">
        <f>Data!$D$5</f>
        <v>277135257</v>
      </c>
      <c r="G6" s="98">
        <f>Data!$D$5</f>
        <v>277135257</v>
      </c>
      <c r="H6" s="98">
        <f>Data!$D$5</f>
        <v>277135257</v>
      </c>
      <c r="I6" s="173" t="s">
        <v>142</v>
      </c>
    </row>
    <row r="7" spans="1:13" x14ac:dyDescent="0.25">
      <c r="A7" s="13" t="s">
        <v>24</v>
      </c>
      <c r="B7" s="98">
        <v>0</v>
      </c>
      <c r="C7" s="125">
        <f>Data!$D$12</f>
        <v>115094325</v>
      </c>
      <c r="D7" s="125">
        <f>Data!$D$12</f>
        <v>115094325</v>
      </c>
      <c r="E7" s="125">
        <f>Data!$D$12</f>
        <v>115094325</v>
      </c>
      <c r="F7" s="98">
        <v>0</v>
      </c>
      <c r="G7" s="98">
        <v>0</v>
      </c>
      <c r="H7" s="98">
        <v>0</v>
      </c>
      <c r="I7" s="173" t="s">
        <v>143</v>
      </c>
    </row>
    <row r="8" spans="1:13" x14ac:dyDescent="0.25">
      <c r="A8" s="13" t="s">
        <v>16</v>
      </c>
      <c r="B8" s="50">
        <v>0</v>
      </c>
      <c r="C8" s="50">
        <v>0</v>
      </c>
      <c r="D8" s="50">
        <v>0</v>
      </c>
      <c r="E8" s="50">
        <f>'CapEx &amp; Depreciation Static'!B5</f>
        <v>5542705.1399999997</v>
      </c>
      <c r="F8" s="50">
        <f>'CapEx &amp; Depreciation Static'!B6</f>
        <v>5542705.1399999997</v>
      </c>
      <c r="G8" s="50">
        <f>'CapEx &amp; Depreciation Static'!B7</f>
        <v>5542705.1399999997</v>
      </c>
      <c r="H8" s="50">
        <v>0</v>
      </c>
      <c r="I8" s="173" t="s">
        <v>130</v>
      </c>
    </row>
    <row r="9" spans="1:13" x14ac:dyDescent="0.25">
      <c r="A9" s="19" t="s">
        <v>63</v>
      </c>
      <c r="B9" s="16">
        <f>40%</f>
        <v>0.4</v>
      </c>
      <c r="C9" s="127"/>
      <c r="D9" s="121"/>
      <c r="E9" s="121"/>
      <c r="F9" s="121"/>
      <c r="G9" s="121"/>
      <c r="H9" s="121"/>
      <c r="I9" s="173" t="s">
        <v>58</v>
      </c>
    </row>
    <row r="10" spans="1:13" x14ac:dyDescent="0.25">
      <c r="A10" s="19" t="s">
        <v>76</v>
      </c>
      <c r="B10" s="128">
        <v>0.1</v>
      </c>
      <c r="C10" s="127"/>
      <c r="D10" s="121"/>
      <c r="F10" s="121"/>
      <c r="G10" s="121"/>
      <c r="H10" s="121"/>
      <c r="I10" s="173" t="s">
        <v>58</v>
      </c>
    </row>
    <row r="11" spans="1:13" x14ac:dyDescent="0.25">
      <c r="A11" s="19" t="s">
        <v>81</v>
      </c>
      <c r="B11" s="129">
        <v>8.7400000000000005E-2</v>
      </c>
      <c r="C11" s="130"/>
      <c r="D11" s="121"/>
      <c r="E11" s="121"/>
      <c r="F11" s="121"/>
      <c r="G11" s="121"/>
      <c r="H11" s="121"/>
      <c r="I11" s="174">
        <v>44889</v>
      </c>
    </row>
    <row r="12" spans="1:13" x14ac:dyDescent="0.25">
      <c r="A12" s="19" t="s">
        <v>93</v>
      </c>
      <c r="B12" s="129">
        <f>AVERAGE(B10,B11)</f>
        <v>9.3700000000000006E-2</v>
      </c>
      <c r="C12" s="127"/>
      <c r="D12" s="121"/>
      <c r="E12" s="121"/>
      <c r="F12" s="121"/>
      <c r="G12" s="121"/>
      <c r="H12" s="121"/>
      <c r="I12" s="173" t="s">
        <v>147</v>
      </c>
    </row>
    <row r="13" spans="1:13" x14ac:dyDescent="0.25">
      <c r="A13" s="19" t="s">
        <v>96</v>
      </c>
      <c r="B13" s="76">
        <v>3.78E-2</v>
      </c>
      <c r="C13" s="121"/>
      <c r="D13" s="121"/>
      <c r="E13" s="121"/>
      <c r="F13" s="121"/>
      <c r="G13" s="121"/>
      <c r="H13" s="121"/>
      <c r="I13" s="173" t="s">
        <v>146</v>
      </c>
    </row>
    <row r="14" spans="1:13" x14ac:dyDescent="0.25">
      <c r="A14" s="91" t="s">
        <v>7</v>
      </c>
      <c r="B14" s="123">
        <v>44926</v>
      </c>
      <c r="C14" s="119">
        <v>45291</v>
      </c>
      <c r="D14" s="119">
        <f>EDATE(C14,12)</f>
        <v>45657</v>
      </c>
      <c r="E14" s="119">
        <f>EDATE(D14,12)</f>
        <v>46022</v>
      </c>
      <c r="F14" s="119">
        <f>EDATE(E14,12)</f>
        <v>46387</v>
      </c>
      <c r="G14" s="119">
        <f>EDATE(F14,12)</f>
        <v>46752</v>
      </c>
      <c r="H14" s="119">
        <f>EDATE(G14,12)</f>
        <v>47118</v>
      </c>
      <c r="I14" s="175" t="s">
        <v>47</v>
      </c>
      <c r="J14" s="131"/>
      <c r="K14" s="257"/>
      <c r="L14" s="258"/>
      <c r="M14" s="258"/>
    </row>
    <row r="15" spans="1:13" x14ac:dyDescent="0.25">
      <c r="A15" s="13" t="s">
        <v>23</v>
      </c>
      <c r="B15" s="50">
        <f>B6</f>
        <v>0</v>
      </c>
      <c r="C15" s="50">
        <f t="shared" ref="C15:H15" si="0">C6</f>
        <v>0</v>
      </c>
      <c r="D15" s="50">
        <f t="shared" si="0"/>
        <v>0</v>
      </c>
      <c r="E15" s="50">
        <f t="shared" si="0"/>
        <v>0</v>
      </c>
      <c r="F15" s="50">
        <f t="shared" si="0"/>
        <v>277135257</v>
      </c>
      <c r="G15" s="50">
        <f t="shared" si="0"/>
        <v>277135257</v>
      </c>
      <c r="H15" s="50">
        <f t="shared" si="0"/>
        <v>277135257</v>
      </c>
      <c r="I15" s="175" t="s">
        <v>142</v>
      </c>
      <c r="J15" s="131"/>
      <c r="K15" s="257"/>
      <c r="L15" s="258"/>
      <c r="M15" s="258"/>
    </row>
    <row r="16" spans="1:13" x14ac:dyDescent="0.25">
      <c r="A16" s="13" t="s">
        <v>24</v>
      </c>
      <c r="B16" s="50">
        <f>B7</f>
        <v>0</v>
      </c>
      <c r="C16" s="50">
        <f t="shared" ref="C16:H16" si="1">C7</f>
        <v>115094325</v>
      </c>
      <c r="D16" s="50">
        <f t="shared" si="1"/>
        <v>115094325</v>
      </c>
      <c r="E16" s="50">
        <f t="shared" si="1"/>
        <v>115094325</v>
      </c>
      <c r="F16" s="50">
        <f t="shared" si="1"/>
        <v>0</v>
      </c>
      <c r="G16" s="50">
        <f t="shared" si="1"/>
        <v>0</v>
      </c>
      <c r="H16" s="50">
        <f t="shared" si="1"/>
        <v>0</v>
      </c>
      <c r="I16" s="175" t="s">
        <v>143</v>
      </c>
      <c r="J16" s="131"/>
      <c r="K16" s="257"/>
      <c r="L16" s="258"/>
      <c r="M16" s="258"/>
    </row>
    <row r="17" spans="1:13" x14ac:dyDescent="0.25">
      <c r="A17" s="135" t="s">
        <v>18</v>
      </c>
      <c r="B17" s="136">
        <f>'CapEx &amp; Depreciation Static'!B18</f>
        <v>0</v>
      </c>
      <c r="C17" s="136">
        <f>'CapEx &amp; Depreciation Static'!C18</f>
        <v>0</v>
      </c>
      <c r="D17" s="136">
        <f>'CapEx &amp; Depreciation Static'!D18</f>
        <v>0</v>
      </c>
      <c r="E17" s="136">
        <f>'CapEx &amp; Depreciation Static'!E18</f>
        <v>0</v>
      </c>
      <c r="F17" s="136">
        <f>'CapEx &amp; Depreciation Static'!F18</f>
        <v>-395907.50999999995</v>
      </c>
      <c r="G17" s="136">
        <f>'CapEx &amp; Depreciation Static'!G18</f>
        <v>-395907.50999999995</v>
      </c>
      <c r="H17" s="136">
        <f>'CapEx &amp; Depreciation Static'!H18</f>
        <v>-395907.50999999995</v>
      </c>
      <c r="I17" s="175" t="s">
        <v>70</v>
      </c>
      <c r="J17" s="131"/>
      <c r="K17" s="257"/>
      <c r="L17" s="258"/>
      <c r="M17" s="258"/>
    </row>
    <row r="18" spans="1:13" x14ac:dyDescent="0.25">
      <c r="A18" s="137" t="s">
        <v>71</v>
      </c>
      <c r="B18" s="293">
        <f>B15-B16-B17</f>
        <v>0</v>
      </c>
      <c r="C18" s="139">
        <f>C15-C16-C17</f>
        <v>-115094325</v>
      </c>
      <c r="D18" s="139">
        <f t="shared" ref="D18:H18" si="2">D15-D16-D17</f>
        <v>-115094325</v>
      </c>
      <c r="E18" s="139">
        <f t="shared" si="2"/>
        <v>-115094325</v>
      </c>
      <c r="F18" s="139">
        <f t="shared" si="2"/>
        <v>277531164.50999999</v>
      </c>
      <c r="G18" s="139">
        <f t="shared" si="2"/>
        <v>277531164.50999999</v>
      </c>
      <c r="H18" s="139">
        <f t="shared" si="2"/>
        <v>277531164.50999999</v>
      </c>
      <c r="I18" s="175" t="s">
        <v>83</v>
      </c>
      <c r="J18" s="131"/>
      <c r="K18" s="257"/>
      <c r="L18" s="258"/>
      <c r="M18" s="258"/>
    </row>
    <row r="19" spans="1:13" s="19" customFormat="1" x14ac:dyDescent="0.25">
      <c r="A19" s="13" t="s">
        <v>72</v>
      </c>
      <c r="B19" s="299">
        <f>B18*$B$9</f>
        <v>0</v>
      </c>
      <c r="C19" s="141">
        <f t="shared" ref="C19:H19" si="3">C18*$B$9</f>
        <v>-46037730</v>
      </c>
      <c r="D19" s="141">
        <f t="shared" si="3"/>
        <v>-46037730</v>
      </c>
      <c r="E19" s="141">
        <f t="shared" si="3"/>
        <v>-46037730</v>
      </c>
      <c r="F19" s="141">
        <f t="shared" si="3"/>
        <v>111012465.80400001</v>
      </c>
      <c r="G19" s="141">
        <f t="shared" si="3"/>
        <v>111012465.80400001</v>
      </c>
      <c r="H19" s="141">
        <f t="shared" si="3"/>
        <v>111012465.80400001</v>
      </c>
      <c r="I19" s="176" t="s">
        <v>84</v>
      </c>
      <c r="J19" s="142"/>
      <c r="K19" s="4"/>
      <c r="L19" s="161"/>
      <c r="M19" s="161"/>
    </row>
    <row r="20" spans="1:13" s="20" customFormat="1" x14ac:dyDescent="0.25">
      <c r="A20" s="137" t="s">
        <v>74</v>
      </c>
      <c r="B20" s="144">
        <f t="shared" ref="B20:H20" si="4">B18-B19</f>
        <v>0</v>
      </c>
      <c r="C20" s="144">
        <f t="shared" si="4"/>
        <v>-69056595</v>
      </c>
      <c r="D20" s="144">
        <f t="shared" si="4"/>
        <v>-69056595</v>
      </c>
      <c r="E20" s="144">
        <f t="shared" si="4"/>
        <v>-69056595</v>
      </c>
      <c r="F20" s="144">
        <f t="shared" si="4"/>
        <v>166518698.70599997</v>
      </c>
      <c r="G20" s="144">
        <f t="shared" si="4"/>
        <v>166518698.70599997</v>
      </c>
      <c r="H20" s="144">
        <f t="shared" si="4"/>
        <v>166518698.70599997</v>
      </c>
      <c r="I20" s="176" t="s">
        <v>85</v>
      </c>
      <c r="J20" s="145"/>
      <c r="K20" s="259"/>
      <c r="L20" s="259"/>
      <c r="M20" s="259"/>
    </row>
    <row r="21" spans="1:13" s="20" customFormat="1" x14ac:dyDescent="0.25">
      <c r="A21" s="135" t="s">
        <v>18</v>
      </c>
      <c r="B21" s="292">
        <f>'CapEx &amp; Depreciation Static'!B18</f>
        <v>0</v>
      </c>
      <c r="C21" s="292">
        <f>'CapEx &amp; Depreciation Static'!C18</f>
        <v>0</v>
      </c>
      <c r="D21" s="292">
        <f>'CapEx &amp; Depreciation Static'!D18</f>
        <v>0</v>
      </c>
      <c r="E21" s="292">
        <f>'CapEx &amp; Depreciation Static'!E18</f>
        <v>0</v>
      </c>
      <c r="F21" s="292">
        <f>'CapEx &amp; Depreciation Static'!F18</f>
        <v>-395907.50999999995</v>
      </c>
      <c r="G21" s="292">
        <f>'CapEx &amp; Depreciation Static'!G18</f>
        <v>-395907.50999999995</v>
      </c>
      <c r="H21" s="292">
        <f>'CapEx &amp; Depreciation Static'!H18</f>
        <v>-395907.50999999995</v>
      </c>
      <c r="I21" s="176" t="s">
        <v>86</v>
      </c>
      <c r="J21" s="145"/>
      <c r="K21" s="259"/>
      <c r="L21" s="259"/>
      <c r="M21" s="259"/>
    </row>
    <row r="22" spans="1:13" s="19" customFormat="1" x14ac:dyDescent="0.25">
      <c r="A22" s="142" t="s">
        <v>17</v>
      </c>
      <c r="B22" s="146">
        <f>'CapEx &amp; Depreciation Static'!B17</f>
        <v>0</v>
      </c>
      <c r="C22" s="146">
        <f>'CapEx &amp; Depreciation Static'!C17</f>
        <v>0</v>
      </c>
      <c r="D22" s="146">
        <f>'CapEx &amp; Depreciation Static'!D17</f>
        <v>0</v>
      </c>
      <c r="E22" s="146">
        <f>'CapEx &amp; Depreciation Static'!E17</f>
        <v>-2771352.57</v>
      </c>
      <c r="F22" s="146">
        <f>'CapEx &amp; Depreciation Static'!F17</f>
        <v>0</v>
      </c>
      <c r="G22" s="146">
        <f>'CapEx &amp; Depreciation Static'!G17</f>
        <v>0</v>
      </c>
      <c r="H22" s="146">
        <f>'CapEx &amp; Depreciation Static'!H17</f>
        <v>1583630.0399999998</v>
      </c>
      <c r="I22" s="176" t="s">
        <v>87</v>
      </c>
      <c r="J22" s="142"/>
      <c r="K22" s="4"/>
      <c r="L22" s="161"/>
      <c r="M22" s="161"/>
    </row>
    <row r="23" spans="1:13" s="19" customFormat="1" x14ac:dyDescent="0.25">
      <c r="A23" s="13" t="s">
        <v>16</v>
      </c>
      <c r="B23" s="126">
        <f t="shared" ref="B23:H23" si="5">B8</f>
        <v>0</v>
      </c>
      <c r="C23" s="126">
        <f t="shared" si="5"/>
        <v>0</v>
      </c>
      <c r="D23" s="126">
        <f t="shared" si="5"/>
        <v>0</v>
      </c>
      <c r="E23" s="126">
        <f t="shared" si="5"/>
        <v>5542705.1399999997</v>
      </c>
      <c r="F23" s="126">
        <f t="shared" si="5"/>
        <v>5542705.1399999997</v>
      </c>
      <c r="G23" s="126">
        <f t="shared" si="5"/>
        <v>5542705.1399999997</v>
      </c>
      <c r="H23" s="126">
        <f t="shared" si="5"/>
        <v>0</v>
      </c>
      <c r="I23" s="176" t="s">
        <v>130</v>
      </c>
      <c r="J23" s="142"/>
      <c r="K23" s="4"/>
      <c r="L23" s="161"/>
      <c r="M23" s="161"/>
    </row>
    <row r="24" spans="1:13" s="19" customFormat="1" x14ac:dyDescent="0.25">
      <c r="A24" s="13" t="s">
        <v>73</v>
      </c>
      <c r="B24" s="146">
        <f>B23</f>
        <v>0</v>
      </c>
      <c r="C24" s="147">
        <f t="shared" ref="C24:H24" si="6">C23-B23</f>
        <v>0</v>
      </c>
      <c r="D24" s="147">
        <f t="shared" si="6"/>
        <v>0</v>
      </c>
      <c r="E24" s="147">
        <f t="shared" si="6"/>
        <v>5542705.1399999997</v>
      </c>
      <c r="F24" s="147">
        <f t="shared" si="6"/>
        <v>0</v>
      </c>
      <c r="G24" s="147">
        <f t="shared" si="6"/>
        <v>0</v>
      </c>
      <c r="H24" s="147">
        <f t="shared" si="6"/>
        <v>-5542705.1399999997</v>
      </c>
      <c r="I24" s="176" t="s">
        <v>88</v>
      </c>
      <c r="J24" s="142"/>
      <c r="K24" s="4"/>
      <c r="L24" s="161"/>
      <c r="M24" s="161"/>
    </row>
    <row r="25" spans="1:13" s="19" customFormat="1" x14ac:dyDescent="0.25">
      <c r="A25" s="137" t="s">
        <v>77</v>
      </c>
      <c r="B25" s="148">
        <f t="shared" ref="B25:H25" si="7">B20+B21+B22-B24</f>
        <v>0</v>
      </c>
      <c r="C25" s="148">
        <f t="shared" si="7"/>
        <v>-69056595</v>
      </c>
      <c r="D25" s="148">
        <f t="shared" si="7"/>
        <v>-69056595</v>
      </c>
      <c r="E25" s="148">
        <f t="shared" si="7"/>
        <v>-77370652.709999993</v>
      </c>
      <c r="F25" s="148">
        <f t="shared" si="7"/>
        <v>166122791.19599998</v>
      </c>
      <c r="G25" s="148">
        <f t="shared" si="7"/>
        <v>166122791.19599998</v>
      </c>
      <c r="H25" s="148">
        <f t="shared" si="7"/>
        <v>173249126.37599996</v>
      </c>
      <c r="I25" s="176" t="s">
        <v>89</v>
      </c>
      <c r="J25" s="142"/>
      <c r="K25" s="4"/>
      <c r="L25" s="161"/>
      <c r="M25" s="161"/>
    </row>
    <row r="26" spans="1:13" s="19" customFormat="1" x14ac:dyDescent="0.25">
      <c r="A26" s="149" t="s">
        <v>75</v>
      </c>
      <c r="B26" s="150">
        <f>XNPV(B12,B25:H25,B14:H14)</f>
        <v>143392285.94303793</v>
      </c>
      <c r="C26" s="134"/>
      <c r="D26" s="134"/>
      <c r="E26" s="134"/>
      <c r="F26" s="151"/>
      <c r="G26" s="151"/>
      <c r="H26" s="151"/>
      <c r="I26" s="176" t="s">
        <v>82</v>
      </c>
      <c r="J26" s="142"/>
      <c r="K26" s="4"/>
      <c r="L26" s="161"/>
      <c r="M26" s="161"/>
    </row>
    <row r="27" spans="1:13" s="19" customFormat="1" x14ac:dyDescent="0.25">
      <c r="A27" s="88"/>
      <c r="B27" s="152"/>
      <c r="C27" s="151"/>
      <c r="D27" s="151"/>
      <c r="E27" s="151"/>
      <c r="F27" s="151"/>
      <c r="G27" s="151"/>
      <c r="H27" s="151"/>
      <c r="I27" s="176"/>
      <c r="J27" s="142"/>
      <c r="K27" s="4"/>
      <c r="L27" s="161"/>
      <c r="M27" s="161"/>
    </row>
    <row r="28" spans="1:13" s="19" customFormat="1" x14ac:dyDescent="0.25">
      <c r="A28" s="3" t="s">
        <v>35</v>
      </c>
      <c r="B28" s="12"/>
      <c r="C28" s="12"/>
      <c r="D28" s="46" t="s">
        <v>35</v>
      </c>
      <c r="E28" s="46"/>
      <c r="F28" s="46" t="s">
        <v>35</v>
      </c>
      <c r="G28" s="151"/>
      <c r="H28" s="151"/>
      <c r="I28" s="176"/>
      <c r="J28" s="142"/>
      <c r="K28" s="4"/>
      <c r="L28" s="161"/>
      <c r="M28" s="161"/>
    </row>
    <row r="29" spans="1:13" s="19" customFormat="1" x14ac:dyDescent="0.25">
      <c r="A29" s="153" t="s">
        <v>78</v>
      </c>
      <c r="B29" s="154">
        <f>B26</f>
        <v>143392285.94303793</v>
      </c>
      <c r="C29" s="13" t="s">
        <v>6</v>
      </c>
      <c r="D29" s="88" t="s">
        <v>78</v>
      </c>
      <c r="E29" s="132">
        <v>161644782.60597515</v>
      </c>
      <c r="F29" s="88" t="s">
        <v>78</v>
      </c>
      <c r="G29" s="132">
        <v>195870921.35653859</v>
      </c>
      <c r="H29" s="88" t="s">
        <v>6</v>
      </c>
      <c r="I29" s="176" t="s">
        <v>90</v>
      </c>
      <c r="J29" s="142"/>
      <c r="K29" s="4"/>
      <c r="L29" s="161"/>
      <c r="M29" s="161"/>
    </row>
    <row r="30" spans="1:13" s="19" customFormat="1" x14ac:dyDescent="0.25">
      <c r="A30" s="153" t="s">
        <v>79</v>
      </c>
      <c r="B30" s="154">
        <f>'Financing Static'!B22</f>
        <v>1214824.252255559</v>
      </c>
      <c r="C30" s="13" t="s">
        <v>6</v>
      </c>
      <c r="D30" s="88" t="s">
        <v>79</v>
      </c>
      <c r="E30" s="132">
        <v>1258917.5764879584</v>
      </c>
      <c r="F30" s="88" t="s">
        <v>79</v>
      </c>
      <c r="G30" s="132">
        <v>1666901.3924567401</v>
      </c>
      <c r="H30" s="88" t="s">
        <v>6</v>
      </c>
      <c r="I30" s="176" t="s">
        <v>91</v>
      </c>
      <c r="J30" s="142"/>
      <c r="K30" s="4"/>
      <c r="L30" s="161"/>
      <c r="M30" s="161"/>
    </row>
    <row r="31" spans="1:13" s="19" customFormat="1" x14ac:dyDescent="0.25">
      <c r="A31" s="153" t="s">
        <v>80</v>
      </c>
      <c r="B31" s="155">
        <f>B29+B30</f>
        <v>144607110.19529349</v>
      </c>
      <c r="C31" s="46" t="s">
        <v>138</v>
      </c>
      <c r="D31" s="46" t="s">
        <v>80</v>
      </c>
      <c r="E31" s="132">
        <v>162903700.18246311</v>
      </c>
      <c r="F31" s="46" t="s">
        <v>80</v>
      </c>
      <c r="G31" s="132">
        <v>197537822.74899533</v>
      </c>
      <c r="H31" s="46" t="s">
        <v>138</v>
      </c>
      <c r="I31" s="177" t="s">
        <v>92</v>
      </c>
      <c r="J31" s="142"/>
      <c r="K31" s="4"/>
      <c r="L31" s="161"/>
      <c r="M31" s="161"/>
    </row>
    <row r="32" spans="1:13" s="19" customFormat="1" x14ac:dyDescent="0.25">
      <c r="A32" s="249"/>
      <c r="B32" s="13"/>
      <c r="C32" s="13"/>
      <c r="D32" s="17"/>
      <c r="E32" s="50"/>
      <c r="F32" s="13"/>
      <c r="G32" s="13"/>
      <c r="H32" s="13"/>
      <c r="I32" s="137"/>
      <c r="J32" s="142"/>
      <c r="K32" s="4"/>
      <c r="L32" s="161"/>
      <c r="M32" s="161"/>
    </row>
    <row r="33" spans="1:13" s="19" customFormat="1" x14ac:dyDescent="0.25">
      <c r="A33" s="310" t="s">
        <v>139</v>
      </c>
      <c r="B33" s="310"/>
      <c r="C33" s="14"/>
      <c r="D33" s="17"/>
      <c r="E33" s="50"/>
      <c r="F33" s="14"/>
      <c r="G33" s="156"/>
      <c r="H33" s="156"/>
      <c r="I33" s="157"/>
      <c r="J33" s="158"/>
      <c r="K33" s="4"/>
      <c r="L33" s="161"/>
      <c r="M33" s="161"/>
    </row>
    <row r="34" spans="1:13" s="19" customFormat="1" x14ac:dyDescent="0.25">
      <c r="A34" s="54" t="s">
        <v>140</v>
      </c>
      <c r="B34" s="54" t="s">
        <v>141</v>
      </c>
      <c r="C34" s="15"/>
      <c r="D34" s="17"/>
      <c r="E34" s="51"/>
      <c r="F34" s="159"/>
      <c r="G34" s="159"/>
      <c r="H34" s="159"/>
      <c r="I34" s="157"/>
      <c r="J34" s="158"/>
      <c r="K34" s="4"/>
      <c r="L34" s="161"/>
      <c r="M34" s="161"/>
    </row>
    <row r="35" spans="1:13" s="19" customFormat="1" x14ac:dyDescent="0.25">
      <c r="A35" s="55"/>
      <c r="B35" s="58">
        <f>B26</f>
        <v>143392285.94303793</v>
      </c>
      <c r="C35" s="15"/>
      <c r="D35" s="47"/>
      <c r="E35" s="51"/>
      <c r="F35" s="159"/>
      <c r="G35" s="159"/>
      <c r="H35" s="159"/>
      <c r="I35" s="157"/>
      <c r="J35" s="158"/>
      <c r="K35" s="4"/>
      <c r="L35" s="161"/>
      <c r="M35" s="161"/>
    </row>
    <row r="36" spans="1:13" s="19" customFormat="1" x14ac:dyDescent="0.25">
      <c r="A36" s="56">
        <f>A37-0.0025</f>
        <v>3.0299999999999997E-2</v>
      </c>
      <c r="B36" s="53">
        <f t="dataTable" ref="B36:B42" dt2D="0" dtr="0" r1="A35"/>
        <v>143392285.94303793</v>
      </c>
      <c r="C36" s="159"/>
      <c r="D36" s="49"/>
      <c r="E36" s="52"/>
      <c r="F36" s="159"/>
      <c r="G36" s="159"/>
      <c r="H36" s="159"/>
      <c r="I36" s="157"/>
      <c r="J36" s="158"/>
      <c r="K36" s="4"/>
      <c r="L36" s="161"/>
      <c r="M36" s="161"/>
    </row>
    <row r="37" spans="1:13" s="19" customFormat="1" x14ac:dyDescent="0.25">
      <c r="A37" s="56">
        <f>A38-0.0025</f>
        <v>3.2799999999999996E-2</v>
      </c>
      <c r="B37" s="53">
        <v>143392285.94303793</v>
      </c>
      <c r="C37" s="159"/>
      <c r="D37" s="49"/>
      <c r="E37" s="52"/>
      <c r="F37" s="159"/>
      <c r="G37" s="159"/>
      <c r="H37" s="159"/>
      <c r="I37" s="157"/>
      <c r="J37" s="158"/>
      <c r="K37" s="4"/>
      <c r="L37" s="161"/>
      <c r="M37" s="161"/>
    </row>
    <row r="38" spans="1:13" s="19" customFormat="1" x14ac:dyDescent="0.25">
      <c r="A38" s="56">
        <f>A39-0.0025</f>
        <v>3.5299999999999998E-2</v>
      </c>
      <c r="B38" s="59">
        <v>143392285.94303793</v>
      </c>
      <c r="C38" s="159"/>
      <c r="D38" s="49"/>
      <c r="E38" s="52"/>
      <c r="F38" s="159"/>
      <c r="G38" s="159"/>
      <c r="H38" s="159"/>
      <c r="I38" s="157"/>
      <c r="J38" s="158"/>
      <c r="K38" s="4"/>
      <c r="L38" s="161"/>
      <c r="M38" s="161"/>
    </row>
    <row r="39" spans="1:13" s="19" customFormat="1" x14ac:dyDescent="0.25">
      <c r="A39" s="57">
        <v>3.78E-2</v>
      </c>
      <c r="B39" s="59">
        <v>143392285.94303793</v>
      </c>
      <c r="C39" s="17"/>
      <c r="D39" s="17"/>
      <c r="E39" s="17"/>
      <c r="F39" s="17"/>
      <c r="G39" s="159"/>
      <c r="H39" s="159"/>
      <c r="I39" s="157"/>
      <c r="J39" s="158"/>
      <c r="K39" s="4"/>
      <c r="L39" s="161"/>
      <c r="M39" s="161"/>
    </row>
    <row r="40" spans="1:13" s="19" customFormat="1" x14ac:dyDescent="0.25">
      <c r="A40" s="56">
        <f>A39+0.0025</f>
        <v>4.0300000000000002E-2</v>
      </c>
      <c r="B40" s="53">
        <v>143392285.94303793</v>
      </c>
      <c r="C40" s="18"/>
      <c r="D40" s="18"/>
      <c r="E40" s="18"/>
      <c r="F40" s="18"/>
      <c r="G40" s="159"/>
      <c r="H40" s="159"/>
      <c r="I40" s="157"/>
      <c r="J40" s="158"/>
      <c r="K40" s="4"/>
      <c r="L40" s="161"/>
      <c r="M40" s="161"/>
    </row>
    <row r="41" spans="1:13" s="19" customFormat="1" x14ac:dyDescent="0.25">
      <c r="A41" s="56">
        <f>A40+0.0025</f>
        <v>4.2800000000000005E-2</v>
      </c>
      <c r="B41" s="53">
        <v>143392285.94303793</v>
      </c>
      <c r="C41" s="18"/>
      <c r="D41" s="18"/>
      <c r="E41" s="18"/>
      <c r="F41" s="18"/>
      <c r="G41" s="160"/>
      <c r="H41" s="160"/>
      <c r="I41" s="160"/>
      <c r="J41" s="161"/>
      <c r="K41" s="15"/>
      <c r="L41" s="160"/>
    </row>
    <row r="42" spans="1:13" s="19" customFormat="1" x14ac:dyDescent="0.25">
      <c r="A42" s="56">
        <f>A41+0.0025</f>
        <v>4.5300000000000007E-2</v>
      </c>
      <c r="B42" s="53">
        <v>143392285.94303793</v>
      </c>
      <c r="C42" s="17"/>
      <c r="D42" s="17"/>
      <c r="E42" s="17"/>
      <c r="F42" s="17"/>
      <c r="G42" s="162"/>
      <c r="H42" s="162"/>
      <c r="I42" s="160"/>
      <c r="J42" s="163"/>
      <c r="K42" s="15"/>
      <c r="L42" s="160"/>
    </row>
    <row r="43" spans="1:13" s="19" customFormat="1" x14ac:dyDescent="0.25">
      <c r="A43" s="249"/>
      <c r="B43" s="14"/>
      <c r="C43" s="14"/>
      <c r="D43" s="14"/>
      <c r="E43" s="14"/>
      <c r="F43" s="14"/>
      <c r="G43" s="156"/>
      <c r="H43" s="156"/>
      <c r="I43" s="158"/>
      <c r="J43" s="164"/>
      <c r="K43" s="15"/>
      <c r="L43" s="158"/>
    </row>
    <row r="44" spans="1:13" s="19" customFormat="1" x14ac:dyDescent="0.25">
      <c r="A44" s="131"/>
      <c r="B44" s="15"/>
      <c r="C44" s="158"/>
      <c r="F44" s="161"/>
      <c r="G44" s="161"/>
      <c r="H44" s="161"/>
      <c r="I44" s="158"/>
      <c r="J44" s="158"/>
      <c r="K44" s="15"/>
      <c r="L44" s="158"/>
    </row>
    <row r="45" spans="1:13" s="19" customFormat="1" x14ac:dyDescent="0.25">
      <c r="A45" s="131"/>
      <c r="B45" s="15"/>
      <c r="C45" s="158"/>
      <c r="E45" s="165"/>
      <c r="F45" s="165"/>
      <c r="G45" s="165"/>
      <c r="H45" s="165"/>
      <c r="I45" s="158"/>
      <c r="J45" s="158"/>
      <c r="K45" s="15"/>
      <c r="L45" s="158"/>
    </row>
    <row r="46" spans="1:13" s="19" customFormat="1" x14ac:dyDescent="0.25">
      <c r="A46" s="131"/>
      <c r="B46" s="158"/>
      <c r="C46" s="158"/>
      <c r="E46" s="165"/>
      <c r="F46" s="165"/>
      <c r="G46" s="165"/>
      <c r="H46" s="165"/>
      <c r="I46" s="158"/>
      <c r="J46" s="158"/>
      <c r="K46" s="158"/>
      <c r="L46" s="158"/>
    </row>
    <row r="47" spans="1:13" s="19" customFormat="1" x14ac:dyDescent="0.25">
      <c r="A47" s="258"/>
      <c r="B47" s="161"/>
      <c r="C47" s="161"/>
      <c r="E47" s="161"/>
      <c r="F47" s="161"/>
      <c r="G47" s="161"/>
      <c r="H47" s="161"/>
      <c r="I47" s="161"/>
      <c r="J47" s="161"/>
      <c r="K47" s="161"/>
      <c r="L47" s="161"/>
    </row>
    <row r="48" spans="1:13" s="19" customFormat="1" x14ac:dyDescent="0.25">
      <c r="A48" s="258"/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</row>
    <row r="49" spans="1:13" s="19" customFormat="1" x14ac:dyDescent="0.25">
      <c r="A49" s="258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</row>
    <row r="50" spans="1:13" s="19" customFormat="1" x14ac:dyDescent="0.25">
      <c r="A50" s="291"/>
      <c r="B50" s="138"/>
      <c r="C50" s="159"/>
      <c r="D50" s="159"/>
      <c r="E50" s="159"/>
      <c r="F50" s="159"/>
      <c r="G50" s="159"/>
      <c r="H50" s="159"/>
      <c r="I50" s="157"/>
      <c r="J50" s="161"/>
      <c r="K50" s="15"/>
      <c r="L50" s="161"/>
      <c r="M50" s="161"/>
    </row>
    <row r="51" spans="1:13" x14ac:dyDescent="0.25">
      <c r="A51" s="260"/>
      <c r="B51" s="205"/>
      <c r="C51" s="258"/>
      <c r="D51" s="258"/>
      <c r="E51" s="258"/>
      <c r="F51" s="258"/>
      <c r="G51" s="258"/>
      <c r="H51" s="258"/>
      <c r="I51" s="258"/>
      <c r="J51" s="260"/>
      <c r="K51" s="205"/>
      <c r="L51" s="258"/>
      <c r="M51" s="258"/>
    </row>
    <row r="52" spans="1:13" x14ac:dyDescent="0.25">
      <c r="A52" s="261"/>
      <c r="B52" s="205"/>
      <c r="C52" s="258"/>
      <c r="D52" s="258"/>
      <c r="E52" s="258"/>
      <c r="F52" s="258"/>
      <c r="G52" s="258"/>
      <c r="H52" s="258"/>
      <c r="I52" s="258"/>
      <c r="J52" s="261"/>
      <c r="K52" s="205"/>
      <c r="L52" s="258"/>
      <c r="M52" s="258"/>
    </row>
    <row r="53" spans="1:13" x14ac:dyDescent="0.25">
      <c r="A53" s="262"/>
      <c r="B53" s="205"/>
      <c r="C53" s="263"/>
      <c r="D53" s="258"/>
      <c r="E53" s="258"/>
      <c r="F53" s="258"/>
      <c r="G53" s="258"/>
      <c r="H53" s="258"/>
      <c r="I53" s="258"/>
      <c r="J53" s="262"/>
      <c r="K53" s="205"/>
      <c r="L53" s="263"/>
      <c r="M53" s="258"/>
    </row>
    <row r="54" spans="1:13" x14ac:dyDescent="0.25">
      <c r="A54" s="262"/>
      <c r="B54" s="205"/>
      <c r="C54" s="258"/>
      <c r="D54" s="258"/>
      <c r="E54" s="258"/>
      <c r="F54" s="257"/>
      <c r="G54" s="258"/>
      <c r="H54" s="258"/>
      <c r="I54" s="258"/>
      <c r="J54" s="262"/>
      <c r="K54" s="205"/>
      <c r="L54" s="258"/>
      <c r="M54" s="258"/>
    </row>
    <row r="55" spans="1:13" x14ac:dyDescent="0.25">
      <c r="A55" s="258"/>
      <c r="B55" s="258"/>
      <c r="C55" s="258"/>
      <c r="D55" s="258"/>
      <c r="E55" s="258"/>
      <c r="F55" s="258"/>
      <c r="G55" s="258"/>
      <c r="H55" s="258"/>
      <c r="I55" s="258"/>
      <c r="J55" s="258"/>
      <c r="K55" s="258"/>
      <c r="L55" s="258"/>
      <c r="M55" s="258"/>
    </row>
    <row r="56" spans="1:13" x14ac:dyDescent="0.25">
      <c r="A56" s="258"/>
      <c r="B56" s="258"/>
      <c r="C56" s="258"/>
      <c r="D56" s="258"/>
      <c r="E56" s="258"/>
      <c r="F56" s="258"/>
      <c r="G56" s="258"/>
      <c r="H56" s="258"/>
      <c r="I56" s="258"/>
      <c r="J56" s="258"/>
      <c r="K56" s="258"/>
      <c r="L56" s="258"/>
      <c r="M56" s="258"/>
    </row>
    <row r="57" spans="1:13" x14ac:dyDescent="0.25">
      <c r="A57" s="258"/>
      <c r="B57" s="264"/>
      <c r="C57" s="258"/>
      <c r="D57" s="258"/>
      <c r="E57" s="258"/>
      <c r="F57" s="258"/>
      <c r="G57" s="258"/>
      <c r="H57" s="258"/>
      <c r="I57" s="258"/>
      <c r="J57" s="258"/>
      <c r="K57" s="264"/>
      <c r="L57" s="258"/>
      <c r="M57" s="258"/>
    </row>
    <row r="58" spans="1:13" x14ac:dyDescent="0.25">
      <c r="A58" s="265"/>
      <c r="B58" s="264"/>
      <c r="C58" s="258"/>
      <c r="D58" s="258"/>
      <c r="E58" s="258"/>
      <c r="F58" s="258"/>
      <c r="G58" s="258"/>
      <c r="H58" s="258"/>
      <c r="I58" s="258"/>
      <c r="J58" s="265"/>
      <c r="K58" s="266"/>
      <c r="L58" s="265"/>
      <c r="M58" s="265"/>
    </row>
    <row r="59" spans="1:13" x14ac:dyDescent="0.25">
      <c r="A59" s="265"/>
      <c r="B59" s="264"/>
      <c r="C59" s="258"/>
      <c r="D59" s="258"/>
      <c r="E59" s="258"/>
      <c r="F59" s="258"/>
      <c r="G59" s="258"/>
      <c r="H59" s="258"/>
      <c r="I59" s="258"/>
      <c r="J59" s="265"/>
      <c r="K59" s="266"/>
      <c r="L59" s="265"/>
      <c r="M59" s="265"/>
    </row>
    <row r="60" spans="1:13" x14ac:dyDescent="0.25">
      <c r="A60" s="265"/>
      <c r="B60" s="258"/>
      <c r="C60" s="258"/>
      <c r="D60" s="258"/>
      <c r="E60" s="258"/>
      <c r="F60" s="258"/>
      <c r="G60" s="258"/>
      <c r="H60" s="267"/>
      <c r="I60" s="258"/>
      <c r="J60" s="265"/>
      <c r="K60" s="265"/>
      <c r="L60" s="265"/>
      <c r="M60" s="265"/>
    </row>
    <row r="61" spans="1:13" x14ac:dyDescent="0.25">
      <c r="A61" s="265"/>
      <c r="B61" s="258"/>
      <c r="C61" s="267"/>
      <c r="D61" s="268"/>
      <c r="E61" s="258"/>
      <c r="F61" s="258"/>
      <c r="G61" s="258"/>
      <c r="H61" s="267"/>
      <c r="I61" s="258"/>
      <c r="J61" s="265"/>
      <c r="K61" s="265"/>
      <c r="L61" s="269"/>
      <c r="M61" s="270"/>
    </row>
    <row r="62" spans="1:13" x14ac:dyDescent="0.25">
      <c r="A62" s="265"/>
      <c r="B62" s="258"/>
      <c r="C62" s="258"/>
      <c r="D62" s="258"/>
      <c r="E62" s="258"/>
      <c r="F62" s="258"/>
      <c r="G62" s="258"/>
      <c r="H62" s="258"/>
      <c r="I62" s="258"/>
      <c r="J62" s="265"/>
      <c r="K62" s="265"/>
      <c r="L62" s="265"/>
      <c r="M62" s="265"/>
    </row>
    <row r="63" spans="1:13" x14ac:dyDescent="0.25">
      <c r="A63" s="258"/>
      <c r="B63" s="255"/>
      <c r="J63" s="258"/>
      <c r="K63" s="256"/>
    </row>
    <row r="64" spans="1:13" x14ac:dyDescent="0.25">
      <c r="A64" s="258"/>
      <c r="J64" s="258"/>
    </row>
    <row r="65" spans="1:10" x14ac:dyDescent="0.25">
      <c r="A65" s="258"/>
      <c r="J65" s="258"/>
    </row>
    <row r="66" spans="1:10" x14ac:dyDescent="0.25">
      <c r="A66" s="258"/>
      <c r="J66" s="258"/>
    </row>
    <row r="67" spans="1:10" x14ac:dyDescent="0.25">
      <c r="A67" s="271"/>
      <c r="B67" s="272"/>
      <c r="C67" s="272"/>
      <c r="D67" s="272"/>
      <c r="E67" s="272"/>
      <c r="F67" s="272"/>
      <c r="G67" s="272"/>
      <c r="H67" s="272"/>
      <c r="I67" s="272"/>
    </row>
  </sheetData>
  <mergeCells count="1">
    <mergeCell ref="A33:B33"/>
  </mergeCells>
  <conditionalFormatting sqref="B31">
    <cfRule type="cellIs" dxfId="4" priority="1" operator="greaterThan">
      <formula>0</formula>
    </cfRule>
  </conditionalFormatting>
  <hyperlinks>
    <hyperlink ref="A1" location="Index!A1" display="Back to Index" xr:uid="{15C4D641-B8F8-4680-90D9-9CC5A46D8C53}"/>
  </hyperlink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68AB7-9F15-432A-B44B-C4DAFC3A755E}">
  <sheetPr codeName="Sheet14"/>
  <dimension ref="A1:M67"/>
  <sheetViews>
    <sheetView showGridLines="0" zoomScale="85" zoomScaleNormal="85" workbookViewId="0">
      <selection activeCell="B30" sqref="B30"/>
    </sheetView>
  </sheetViews>
  <sheetFormatPr defaultRowHeight="15" x14ac:dyDescent="0.25"/>
  <cols>
    <col min="1" max="1" width="35.7109375" style="68" bestFit="1" customWidth="1"/>
    <col min="2" max="2" width="19" style="68" bestFit="1" customWidth="1"/>
    <col min="3" max="3" width="21.140625" style="68" bestFit="1" customWidth="1"/>
    <col min="4" max="4" width="17" style="68" bestFit="1" customWidth="1"/>
    <col min="5" max="5" width="20.42578125" style="68" bestFit="1" customWidth="1"/>
    <col min="6" max="7" width="16.42578125" style="68" bestFit="1" customWidth="1"/>
    <col min="8" max="8" width="19.140625" style="68" bestFit="1" customWidth="1"/>
    <col min="9" max="9" width="30.28515625" style="68" bestFit="1" customWidth="1"/>
    <col min="10" max="10" width="9.140625" style="68"/>
    <col min="11" max="11" width="12.7109375" style="68" bestFit="1" customWidth="1"/>
    <col min="12" max="16384" width="9.140625" style="68"/>
  </cols>
  <sheetData>
    <row r="1" spans="1:13" s="169" customFormat="1" x14ac:dyDescent="0.25">
      <c r="A1" s="168" t="s">
        <v>5</v>
      </c>
    </row>
    <row r="2" spans="1:13" s="169" customFormat="1" x14ac:dyDescent="0.25">
      <c r="A2" s="168"/>
    </row>
    <row r="3" spans="1:13" x14ac:dyDescent="0.25">
      <c r="A3" s="122" t="s">
        <v>8</v>
      </c>
      <c r="B3" s="77"/>
      <c r="C3" s="77"/>
      <c r="D3" s="77"/>
      <c r="E3" s="77"/>
      <c r="F3" s="77"/>
      <c r="G3" s="77"/>
      <c r="H3" s="77"/>
      <c r="I3" s="172"/>
    </row>
    <row r="4" spans="1:13" x14ac:dyDescent="0.25">
      <c r="A4" s="102"/>
      <c r="I4" s="173" t="s">
        <v>47</v>
      </c>
    </row>
    <row r="5" spans="1:13" x14ac:dyDescent="0.25">
      <c r="A5" s="91" t="s">
        <v>7</v>
      </c>
      <c r="B5" s="123">
        <v>44896</v>
      </c>
      <c r="C5" s="119">
        <v>45291</v>
      </c>
      <c r="D5" s="119">
        <v>45657</v>
      </c>
      <c r="E5" s="119">
        <v>46022</v>
      </c>
      <c r="F5" s="119">
        <v>46387</v>
      </c>
      <c r="G5" s="119">
        <v>46752</v>
      </c>
      <c r="H5" s="119">
        <v>47118</v>
      </c>
      <c r="I5" s="173"/>
    </row>
    <row r="6" spans="1:13" x14ac:dyDescent="0.25">
      <c r="A6" s="13" t="s">
        <v>23</v>
      </c>
      <c r="B6" s="98"/>
      <c r="C6" s="98"/>
      <c r="D6" s="98"/>
      <c r="E6" s="98"/>
      <c r="F6" s="98">
        <v>294188843.60081947</v>
      </c>
      <c r="G6" s="98">
        <v>281607274.31606805</v>
      </c>
      <c r="H6" s="98">
        <v>302546878.74264258</v>
      </c>
      <c r="I6" s="173" t="s">
        <v>142</v>
      </c>
    </row>
    <row r="7" spans="1:13" x14ac:dyDescent="0.25">
      <c r="A7" s="13" t="s">
        <v>24</v>
      </c>
      <c r="B7" s="98"/>
      <c r="C7" s="125">
        <v>118634092.97780077</v>
      </c>
      <c r="D7" s="125">
        <v>117679572.99036309</v>
      </c>
      <c r="E7" s="125">
        <v>122438036.18354325</v>
      </c>
      <c r="F7" s="98"/>
      <c r="G7" s="98"/>
      <c r="H7" s="98"/>
      <c r="I7" s="173" t="s">
        <v>143</v>
      </c>
    </row>
    <row r="8" spans="1:13" x14ac:dyDescent="0.25">
      <c r="A8" s="13" t="s">
        <v>16</v>
      </c>
      <c r="B8" s="50">
        <v>0</v>
      </c>
      <c r="C8" s="50">
        <v>0</v>
      </c>
      <c r="D8" s="50">
        <v>0</v>
      </c>
      <c r="E8" s="50">
        <v>5883776.8720163899</v>
      </c>
      <c r="F8" s="50">
        <v>5632145.4863213608</v>
      </c>
      <c r="G8" s="50">
        <v>6050937.5748528522</v>
      </c>
      <c r="H8" s="50">
        <v>0</v>
      </c>
      <c r="I8" s="173" t="s">
        <v>130</v>
      </c>
    </row>
    <row r="9" spans="1:13" x14ac:dyDescent="0.25">
      <c r="A9" s="19" t="s">
        <v>63</v>
      </c>
      <c r="B9" s="16">
        <v>0.4</v>
      </c>
      <c r="C9" s="127"/>
      <c r="D9" s="121"/>
      <c r="E9" s="121"/>
      <c r="F9" s="121"/>
      <c r="G9" s="121"/>
      <c r="H9" s="121"/>
      <c r="I9" s="173" t="s">
        <v>58</v>
      </c>
    </row>
    <row r="10" spans="1:13" x14ac:dyDescent="0.25">
      <c r="A10" s="19" t="s">
        <v>76</v>
      </c>
      <c r="B10" s="128">
        <v>0.1</v>
      </c>
      <c r="C10" s="127"/>
      <c r="D10" s="121"/>
      <c r="F10" s="121"/>
      <c r="G10" s="121"/>
      <c r="H10" s="121"/>
      <c r="I10" s="173" t="s">
        <v>58</v>
      </c>
    </row>
    <row r="11" spans="1:13" x14ac:dyDescent="0.25">
      <c r="A11" s="19" t="s">
        <v>81</v>
      </c>
      <c r="B11" s="129">
        <v>8.7400000000000005E-2</v>
      </c>
      <c r="C11" s="130"/>
      <c r="D11" s="121"/>
      <c r="E11" s="121"/>
      <c r="F11" s="121"/>
      <c r="G11" s="121"/>
      <c r="H11" s="121"/>
      <c r="I11" s="174">
        <v>44889</v>
      </c>
    </row>
    <row r="12" spans="1:13" x14ac:dyDescent="0.25">
      <c r="A12" s="19" t="s">
        <v>93</v>
      </c>
      <c r="B12" s="129">
        <v>9.3700000000000006E-2</v>
      </c>
      <c r="C12" s="127"/>
      <c r="D12" s="121"/>
      <c r="E12" s="121"/>
      <c r="F12" s="121"/>
      <c r="G12" s="121"/>
      <c r="H12" s="121"/>
      <c r="I12" s="173" t="s">
        <v>147</v>
      </c>
    </row>
    <row r="13" spans="1:13" x14ac:dyDescent="0.25">
      <c r="A13" s="19" t="s">
        <v>96</v>
      </c>
      <c r="B13" s="76">
        <v>3.78E-2</v>
      </c>
      <c r="C13" s="121"/>
      <c r="D13" s="121"/>
      <c r="E13" s="121"/>
      <c r="F13" s="121"/>
      <c r="G13" s="121"/>
      <c r="H13" s="121"/>
      <c r="I13" s="173" t="s">
        <v>146</v>
      </c>
    </row>
    <row r="14" spans="1:13" ht="15" customHeight="1" x14ac:dyDescent="0.25">
      <c r="A14" s="91" t="s">
        <v>7</v>
      </c>
      <c r="B14" s="123">
        <v>44896</v>
      </c>
      <c r="C14" s="119">
        <v>45291</v>
      </c>
      <c r="D14" s="119">
        <v>45657</v>
      </c>
      <c r="E14" s="119">
        <v>46022</v>
      </c>
      <c r="F14" s="119">
        <v>46387</v>
      </c>
      <c r="G14" s="119">
        <v>46752</v>
      </c>
      <c r="H14" s="119">
        <v>47118</v>
      </c>
      <c r="I14" s="175" t="s">
        <v>47</v>
      </c>
      <c r="J14" s="131"/>
      <c r="K14" s="257"/>
      <c r="L14" s="258"/>
      <c r="M14" s="258"/>
    </row>
    <row r="15" spans="1:13" ht="15" customHeight="1" x14ac:dyDescent="0.25">
      <c r="A15" s="13" t="s">
        <v>23</v>
      </c>
      <c r="B15" s="132"/>
      <c r="C15" s="52">
        <v>0</v>
      </c>
      <c r="D15" s="133">
        <v>0</v>
      </c>
      <c r="E15" s="133">
        <v>0</v>
      </c>
      <c r="F15" s="133">
        <v>294188843.60081947</v>
      </c>
      <c r="G15" s="133">
        <v>281607274.31606805</v>
      </c>
      <c r="H15" s="133">
        <v>302546878.74264258</v>
      </c>
      <c r="I15" s="175" t="s">
        <v>142</v>
      </c>
      <c r="J15" s="131"/>
      <c r="K15" s="257"/>
      <c r="L15" s="258"/>
      <c r="M15" s="258"/>
    </row>
    <row r="16" spans="1:13" ht="15" customHeight="1" x14ac:dyDescent="0.25">
      <c r="A16" s="13" t="s">
        <v>24</v>
      </c>
      <c r="B16" s="132"/>
      <c r="C16" s="133">
        <v>118634092.97780077</v>
      </c>
      <c r="D16" s="133">
        <v>117679572.99036309</v>
      </c>
      <c r="E16" s="133">
        <v>122438036.18354325</v>
      </c>
      <c r="F16" s="52">
        <v>0</v>
      </c>
      <c r="G16" s="52">
        <v>0</v>
      </c>
      <c r="H16" s="52">
        <v>0</v>
      </c>
      <c r="I16" s="175" t="s">
        <v>143</v>
      </c>
      <c r="J16" s="131"/>
      <c r="K16" s="257"/>
      <c r="L16" s="258"/>
      <c r="M16" s="258"/>
    </row>
    <row r="17" spans="1:13" ht="15" customHeight="1" x14ac:dyDescent="0.25">
      <c r="A17" s="135" t="s">
        <v>18</v>
      </c>
      <c r="B17" s="136"/>
      <c r="C17" s="136">
        <v>0</v>
      </c>
      <c r="D17" s="136">
        <v>0</v>
      </c>
      <c r="E17" s="136">
        <v>0</v>
      </c>
      <c r="F17" s="136">
        <v>-420269.77657259925</v>
      </c>
      <c r="G17" s="136">
        <v>-420269.77657259925</v>
      </c>
      <c r="H17" s="136">
        <v>-420269.77657259925</v>
      </c>
      <c r="I17" s="175" t="s">
        <v>70</v>
      </c>
      <c r="J17" s="131"/>
      <c r="K17" s="257"/>
      <c r="L17" s="258"/>
      <c r="M17" s="258"/>
    </row>
    <row r="18" spans="1:13" ht="15" customHeight="1" x14ac:dyDescent="0.25">
      <c r="A18" s="137" t="s">
        <v>71</v>
      </c>
      <c r="B18" s="138"/>
      <c r="C18" s="139">
        <v>-118634092.97780077</v>
      </c>
      <c r="D18" s="139">
        <v>-117679572.99036309</v>
      </c>
      <c r="E18" s="139">
        <v>-122438036.18354325</v>
      </c>
      <c r="F18" s="139">
        <v>294609113.37739205</v>
      </c>
      <c r="G18" s="139">
        <v>282027544.09264064</v>
      </c>
      <c r="H18" s="139">
        <v>302967148.51921517</v>
      </c>
      <c r="I18" s="175" t="s">
        <v>83</v>
      </c>
      <c r="J18" s="131"/>
      <c r="K18" s="257"/>
      <c r="L18" s="258"/>
      <c r="M18" s="258"/>
    </row>
    <row r="19" spans="1:13" s="19" customFormat="1" ht="15" customHeight="1" x14ac:dyDescent="0.25">
      <c r="A19" s="13" t="s">
        <v>72</v>
      </c>
      <c r="B19" s="140"/>
      <c r="C19" s="141">
        <v>-47453637.191120312</v>
      </c>
      <c r="D19" s="141">
        <v>-47071829.196145236</v>
      </c>
      <c r="E19" s="141">
        <v>-48975214.473417304</v>
      </c>
      <c r="F19" s="141">
        <v>117843645.35095683</v>
      </c>
      <c r="G19" s="141">
        <v>112811017.63705626</v>
      </c>
      <c r="H19" s="141">
        <v>121186859.40768607</v>
      </c>
      <c r="I19" s="176" t="s">
        <v>84</v>
      </c>
      <c r="J19" s="142"/>
      <c r="K19" s="4"/>
      <c r="L19" s="161"/>
      <c r="M19" s="161"/>
    </row>
    <row r="20" spans="1:13" s="20" customFormat="1" ht="15" customHeight="1" x14ac:dyDescent="0.25">
      <c r="A20" s="137" t="s">
        <v>74</v>
      </c>
      <c r="B20" s="143"/>
      <c r="C20" s="144">
        <v>-71180455.78668046</v>
      </c>
      <c r="D20" s="144">
        <v>-70607743.794217855</v>
      </c>
      <c r="E20" s="144">
        <v>-73462821.710125953</v>
      </c>
      <c r="F20" s="144">
        <v>176765468.02643523</v>
      </c>
      <c r="G20" s="144">
        <v>169216526.45558438</v>
      </c>
      <c r="H20" s="144">
        <v>181780289.11152911</v>
      </c>
      <c r="I20" s="176" t="s">
        <v>85</v>
      </c>
      <c r="J20" s="145"/>
      <c r="K20" s="259"/>
      <c r="L20" s="259"/>
      <c r="M20" s="259"/>
    </row>
    <row r="21" spans="1:13" s="20" customFormat="1" ht="15" customHeight="1" x14ac:dyDescent="0.25">
      <c r="A21" s="135" t="s">
        <v>18</v>
      </c>
      <c r="B21" s="143"/>
      <c r="C21" s="133">
        <v>0</v>
      </c>
      <c r="D21" s="133">
        <v>0</v>
      </c>
      <c r="E21" s="133">
        <v>0</v>
      </c>
      <c r="F21" s="133">
        <v>-420269.77657259925</v>
      </c>
      <c r="G21" s="133">
        <v>-420269.77657259925</v>
      </c>
      <c r="H21" s="133">
        <v>-420269.77657259925</v>
      </c>
      <c r="I21" s="176" t="s">
        <v>86</v>
      </c>
      <c r="J21" s="145"/>
      <c r="K21" s="259"/>
      <c r="L21" s="259"/>
      <c r="M21" s="259"/>
    </row>
    <row r="22" spans="1:13" s="19" customFormat="1" ht="15" customHeight="1" x14ac:dyDescent="0.25">
      <c r="A22" s="142" t="s">
        <v>17</v>
      </c>
      <c r="B22" s="146">
        <v>0</v>
      </c>
      <c r="C22" s="146">
        <v>0</v>
      </c>
      <c r="D22" s="146">
        <v>0</v>
      </c>
      <c r="E22" s="146">
        <v>-2941888.4360081949</v>
      </c>
      <c r="F22" s="146">
        <v>0</v>
      </c>
      <c r="G22" s="146">
        <v>0</v>
      </c>
      <c r="H22" s="146">
        <v>1681079.106290397</v>
      </c>
      <c r="I22" s="176" t="s">
        <v>87</v>
      </c>
      <c r="J22" s="142"/>
      <c r="K22" s="4"/>
      <c r="L22" s="161"/>
      <c r="M22" s="161"/>
    </row>
    <row r="23" spans="1:13" s="19" customFormat="1" ht="15" customHeight="1" x14ac:dyDescent="0.25">
      <c r="A23" s="13" t="s">
        <v>16</v>
      </c>
      <c r="B23" s="126">
        <v>0</v>
      </c>
      <c r="C23" s="126">
        <v>0</v>
      </c>
      <c r="D23" s="126">
        <v>0</v>
      </c>
      <c r="E23" s="126">
        <v>5883776.8720163899</v>
      </c>
      <c r="F23" s="126">
        <v>5632145.4863213608</v>
      </c>
      <c r="G23" s="126">
        <v>6050937.5748528522</v>
      </c>
      <c r="H23" s="126">
        <v>0</v>
      </c>
      <c r="I23" s="176" t="s">
        <v>130</v>
      </c>
      <c r="J23" s="142"/>
      <c r="K23" s="4"/>
      <c r="L23" s="161"/>
      <c r="M23" s="161"/>
    </row>
    <row r="24" spans="1:13" s="19" customFormat="1" ht="15" customHeight="1" x14ac:dyDescent="0.25">
      <c r="A24" s="13" t="s">
        <v>73</v>
      </c>
      <c r="B24" s="146">
        <v>0</v>
      </c>
      <c r="C24" s="147">
        <v>0</v>
      </c>
      <c r="D24" s="147">
        <v>0</v>
      </c>
      <c r="E24" s="147">
        <v>5883776.8720163899</v>
      </c>
      <c r="F24" s="147">
        <v>-251631.38569502905</v>
      </c>
      <c r="G24" s="147">
        <v>418792.08853149135</v>
      </c>
      <c r="H24" s="147">
        <v>-6050937.5748528522</v>
      </c>
      <c r="I24" s="176" t="s">
        <v>88</v>
      </c>
      <c r="J24" s="142"/>
      <c r="K24" s="4"/>
      <c r="L24" s="161"/>
      <c r="M24" s="161"/>
    </row>
    <row r="25" spans="1:13" s="19" customFormat="1" ht="15" customHeight="1" x14ac:dyDescent="0.25">
      <c r="A25" s="137" t="s">
        <v>77</v>
      </c>
      <c r="B25" s="148">
        <v>0</v>
      </c>
      <c r="C25" s="148">
        <v>-71180455.78668046</v>
      </c>
      <c r="D25" s="148">
        <v>-70607743.794217855</v>
      </c>
      <c r="E25" s="148">
        <v>-82288487.018150538</v>
      </c>
      <c r="F25" s="148">
        <v>176596829.63555768</v>
      </c>
      <c r="G25" s="148">
        <v>168377464.5904803</v>
      </c>
      <c r="H25" s="148">
        <v>189092036.01609978</v>
      </c>
      <c r="I25" s="176" t="s">
        <v>89</v>
      </c>
      <c r="J25" s="142"/>
      <c r="K25" s="4"/>
      <c r="L25" s="161"/>
      <c r="M25" s="161"/>
    </row>
    <row r="26" spans="1:13" s="19" customFormat="1" ht="15" customHeight="1" x14ac:dyDescent="0.25">
      <c r="A26" s="149" t="s">
        <v>75</v>
      </c>
      <c r="B26" s="150">
        <v>153274020.55034637</v>
      </c>
      <c r="C26" s="134"/>
      <c r="D26" s="134"/>
      <c r="E26" s="134"/>
      <c r="F26" s="151"/>
      <c r="G26" s="151"/>
      <c r="H26" s="151"/>
      <c r="I26" s="176" t="s">
        <v>82</v>
      </c>
      <c r="J26" s="142"/>
      <c r="K26" s="4"/>
      <c r="L26" s="161"/>
      <c r="M26" s="161"/>
    </row>
    <row r="27" spans="1:13" s="19" customFormat="1" ht="15" customHeight="1" x14ac:dyDescent="0.25">
      <c r="A27" s="88"/>
      <c r="B27" s="152"/>
      <c r="C27" s="151"/>
      <c r="D27" s="151"/>
      <c r="E27" s="151"/>
      <c r="F27" s="151"/>
      <c r="G27" s="151"/>
      <c r="H27" s="151"/>
      <c r="I27" s="176"/>
      <c r="J27" s="142"/>
      <c r="K27" s="4"/>
      <c r="L27" s="161"/>
      <c r="M27" s="161"/>
    </row>
    <row r="28" spans="1:13" s="19" customFormat="1" ht="15" customHeight="1" x14ac:dyDescent="0.25">
      <c r="A28" s="3" t="s">
        <v>35</v>
      </c>
      <c r="B28" s="12"/>
      <c r="C28" s="12"/>
      <c r="D28" s="12"/>
      <c r="E28" s="12"/>
      <c r="F28" s="12"/>
      <c r="G28" s="151"/>
      <c r="H28" s="151"/>
      <c r="I28" s="176"/>
      <c r="J28" s="142"/>
      <c r="K28" s="4"/>
      <c r="L28" s="161"/>
      <c r="M28" s="161"/>
    </row>
    <row r="29" spans="1:13" s="19" customFormat="1" ht="15" customHeight="1" x14ac:dyDescent="0.25">
      <c r="A29" s="153" t="s">
        <v>78</v>
      </c>
      <c r="B29" s="154">
        <v>153274020.55034637</v>
      </c>
      <c r="C29" s="13" t="s">
        <v>6</v>
      </c>
      <c r="D29" s="13"/>
      <c r="E29" s="13"/>
      <c r="F29" s="13"/>
      <c r="G29" s="13"/>
      <c r="H29" s="13"/>
      <c r="I29" s="176" t="s">
        <v>90</v>
      </c>
      <c r="J29" s="142"/>
      <c r="K29" s="4"/>
      <c r="L29" s="161"/>
      <c r="M29" s="161"/>
    </row>
    <row r="30" spans="1:13" s="19" customFormat="1" ht="15" customHeight="1" x14ac:dyDescent="0.25">
      <c r="A30" s="153" t="s">
        <v>79</v>
      </c>
      <c r="B30" s="154">
        <v>1257825.8282182515</v>
      </c>
      <c r="C30" s="13" t="s">
        <v>6</v>
      </c>
      <c r="D30" s="13"/>
      <c r="E30" s="13"/>
      <c r="F30" s="13"/>
      <c r="G30" s="13"/>
      <c r="H30" s="13"/>
      <c r="I30" s="176" t="s">
        <v>91</v>
      </c>
      <c r="J30" s="142"/>
      <c r="K30" s="4"/>
      <c r="L30" s="161"/>
      <c r="M30" s="161"/>
    </row>
    <row r="31" spans="1:13" s="19" customFormat="1" ht="15" customHeight="1" x14ac:dyDescent="0.25">
      <c r="A31" s="153" t="s">
        <v>80</v>
      </c>
      <c r="B31" s="155">
        <v>154531846.37856463</v>
      </c>
      <c r="C31" s="46" t="s">
        <v>138</v>
      </c>
      <c r="D31" s="12"/>
      <c r="E31" s="48"/>
      <c r="F31" s="12"/>
      <c r="G31" s="12"/>
      <c r="H31" s="12"/>
      <c r="I31" s="177" t="s">
        <v>92</v>
      </c>
      <c r="J31" s="142"/>
      <c r="K31" s="4"/>
      <c r="L31" s="161"/>
      <c r="M31" s="161"/>
    </row>
    <row r="32" spans="1:13" s="19" customFormat="1" ht="15" customHeight="1" x14ac:dyDescent="0.25">
      <c r="A32" s="249"/>
      <c r="B32" s="13"/>
      <c r="C32" s="13"/>
      <c r="D32" s="17"/>
      <c r="E32" s="50"/>
      <c r="F32" s="13"/>
      <c r="G32" s="13"/>
      <c r="H32" s="13"/>
      <c r="I32" s="137"/>
      <c r="J32" s="142"/>
      <c r="K32" s="4"/>
      <c r="L32" s="161"/>
      <c r="M32" s="161"/>
    </row>
    <row r="33" spans="1:13" s="19" customFormat="1" ht="15" customHeight="1" x14ac:dyDescent="0.25">
      <c r="A33" s="193" t="s">
        <v>139</v>
      </c>
      <c r="B33" s="193"/>
      <c r="C33" s="14"/>
      <c r="D33" s="17"/>
      <c r="E33" s="50"/>
      <c r="F33" s="14"/>
      <c r="G33" s="156"/>
      <c r="H33" s="156"/>
      <c r="I33" s="157"/>
      <c r="J33" s="158"/>
      <c r="K33" s="4"/>
      <c r="L33" s="161"/>
      <c r="M33" s="161"/>
    </row>
    <row r="34" spans="1:13" s="19" customFormat="1" ht="15" customHeight="1" x14ac:dyDescent="0.25">
      <c r="A34" s="54" t="s">
        <v>140</v>
      </c>
      <c r="B34" s="54" t="s">
        <v>141</v>
      </c>
      <c r="C34" s="15"/>
      <c r="D34" s="17"/>
      <c r="E34" s="51"/>
      <c r="F34" s="159"/>
      <c r="G34" s="159"/>
      <c r="H34" s="159"/>
      <c r="I34" s="157"/>
      <c r="J34" s="158"/>
      <c r="K34" s="4"/>
      <c r="L34" s="161"/>
      <c r="M34" s="161"/>
    </row>
    <row r="35" spans="1:13" s="19" customFormat="1" ht="15" customHeight="1" x14ac:dyDescent="0.25">
      <c r="A35" s="55"/>
      <c r="B35" s="58">
        <v>153274020.55034637</v>
      </c>
      <c r="C35" s="15"/>
      <c r="D35" s="47"/>
      <c r="E35" s="51"/>
      <c r="F35" s="159"/>
      <c r="G35" s="159"/>
      <c r="H35" s="159"/>
      <c r="I35" s="157"/>
      <c r="J35" s="158"/>
      <c r="K35" s="4"/>
      <c r="L35" s="161"/>
      <c r="M35" s="161"/>
    </row>
    <row r="36" spans="1:13" s="19" customFormat="1" ht="15" customHeight="1" x14ac:dyDescent="0.25">
      <c r="A36" s="56">
        <v>3.0299999999999997E-2</v>
      </c>
      <c r="B36" s="53">
        <v>170978755.22609103</v>
      </c>
      <c r="C36" s="159"/>
      <c r="D36" s="49"/>
      <c r="E36" s="52"/>
      <c r="F36" s="159"/>
      <c r="G36" s="159"/>
      <c r="H36" s="159"/>
      <c r="I36" s="157"/>
      <c r="J36" s="158"/>
      <c r="K36" s="4"/>
      <c r="L36" s="161"/>
      <c r="M36" s="161"/>
    </row>
    <row r="37" spans="1:13" s="19" customFormat="1" ht="15" customHeight="1" x14ac:dyDescent="0.25">
      <c r="A37" s="56">
        <v>3.2799999999999996E-2</v>
      </c>
      <c r="B37" s="53">
        <v>150302169.75306284</v>
      </c>
      <c r="C37" s="159"/>
      <c r="D37" s="49"/>
      <c r="E37" s="52"/>
      <c r="F37" s="159"/>
      <c r="G37" s="159"/>
      <c r="H37" s="159"/>
      <c r="I37" s="157"/>
      <c r="J37" s="158"/>
      <c r="K37" s="4"/>
      <c r="L37" s="161"/>
      <c r="M37" s="161"/>
    </row>
    <row r="38" spans="1:13" s="19" customFormat="1" ht="15" customHeight="1" x14ac:dyDescent="0.25">
      <c r="A38" s="56">
        <v>3.5299999999999998E-2</v>
      </c>
      <c r="B38" s="59">
        <v>180395031.11966521</v>
      </c>
      <c r="C38" s="159"/>
      <c r="D38" s="49"/>
      <c r="E38" s="52"/>
      <c r="F38" s="159"/>
      <c r="G38" s="159"/>
      <c r="H38" s="159"/>
      <c r="I38" s="157"/>
      <c r="J38" s="158"/>
      <c r="K38" s="4"/>
      <c r="L38" s="161"/>
      <c r="M38" s="161"/>
    </row>
    <row r="39" spans="1:13" s="19" customFormat="1" ht="15" customHeight="1" x14ac:dyDescent="0.25">
      <c r="A39" s="57">
        <v>3.78E-2</v>
      </c>
      <c r="B39" s="59">
        <v>169686736.744654</v>
      </c>
      <c r="C39" s="17"/>
      <c r="D39" s="17"/>
      <c r="E39" s="17"/>
      <c r="F39" s="17"/>
      <c r="G39" s="159"/>
      <c r="H39" s="159"/>
      <c r="I39" s="157"/>
      <c r="J39" s="158"/>
      <c r="K39" s="4"/>
      <c r="L39" s="161"/>
      <c r="M39" s="161"/>
    </row>
    <row r="40" spans="1:13" s="19" customFormat="1" ht="15" customHeight="1" x14ac:dyDescent="0.25">
      <c r="A40" s="56">
        <v>4.0300000000000002E-2</v>
      </c>
      <c r="B40" s="53">
        <v>155149719.35143495</v>
      </c>
      <c r="C40" s="18"/>
      <c r="D40" s="18"/>
      <c r="E40" s="18"/>
      <c r="F40" s="18"/>
      <c r="G40" s="159"/>
      <c r="H40" s="159"/>
      <c r="I40" s="157"/>
      <c r="J40" s="158"/>
      <c r="K40" s="4"/>
      <c r="L40" s="161"/>
      <c r="M40" s="161"/>
    </row>
    <row r="41" spans="1:13" s="19" customFormat="1" ht="15" customHeight="1" x14ac:dyDescent="0.25">
      <c r="A41" s="56">
        <v>4.2800000000000005E-2</v>
      </c>
      <c r="B41" s="53">
        <v>143910718.93330419</v>
      </c>
      <c r="C41" s="18"/>
      <c r="D41" s="18"/>
      <c r="E41" s="18"/>
      <c r="F41" s="18"/>
      <c r="G41" s="160"/>
      <c r="H41" s="160"/>
      <c r="I41" s="160"/>
      <c r="J41" s="161"/>
      <c r="K41" s="15"/>
      <c r="L41" s="160"/>
    </row>
    <row r="42" spans="1:13" s="19" customFormat="1" ht="15" customHeight="1" x14ac:dyDescent="0.25">
      <c r="A42" s="56">
        <v>4.5300000000000007E-2</v>
      </c>
      <c r="B42" s="53">
        <v>161566616.77586323</v>
      </c>
      <c r="C42" s="17"/>
      <c r="D42" s="17"/>
      <c r="E42" s="17"/>
      <c r="F42" s="17"/>
      <c r="G42" s="162"/>
      <c r="H42" s="162"/>
      <c r="I42" s="160"/>
      <c r="J42" s="163"/>
      <c r="K42" s="15"/>
      <c r="L42" s="160"/>
    </row>
    <row r="43" spans="1:13" s="19" customFormat="1" x14ac:dyDescent="0.25">
      <c r="A43" s="249"/>
      <c r="B43" s="14"/>
      <c r="C43" s="14"/>
      <c r="D43" s="14"/>
      <c r="E43" s="14"/>
      <c r="F43" s="14"/>
      <c r="G43" s="156"/>
      <c r="H43" s="156"/>
      <c r="I43" s="158"/>
      <c r="J43" s="164"/>
      <c r="K43" s="15"/>
      <c r="L43" s="158"/>
    </row>
    <row r="44" spans="1:13" s="19" customFormat="1" x14ac:dyDescent="0.25">
      <c r="A44" s="131"/>
      <c r="B44" s="15"/>
      <c r="C44" s="158"/>
      <c r="F44" s="161"/>
      <c r="G44" s="161"/>
      <c r="H44" s="161"/>
      <c r="I44" s="158"/>
      <c r="J44" s="158"/>
      <c r="K44" s="15"/>
      <c r="L44" s="158"/>
    </row>
    <row r="45" spans="1:13" s="19" customFormat="1" x14ac:dyDescent="0.25">
      <c r="A45" s="131"/>
      <c r="B45" s="15"/>
      <c r="C45" s="158"/>
      <c r="E45" s="165"/>
      <c r="F45" s="165"/>
      <c r="G45" s="165"/>
      <c r="H45" s="165"/>
      <c r="I45" s="158"/>
      <c r="J45" s="158"/>
      <c r="K45" s="15"/>
      <c r="L45" s="158"/>
    </row>
    <row r="46" spans="1:13" s="19" customFormat="1" x14ac:dyDescent="0.25">
      <c r="A46" s="131"/>
      <c r="B46" s="158"/>
      <c r="C46" s="158"/>
      <c r="E46" s="165"/>
      <c r="F46" s="165"/>
      <c r="G46" s="165"/>
      <c r="H46" s="165"/>
      <c r="I46" s="158"/>
      <c r="J46" s="158"/>
      <c r="K46" s="158"/>
      <c r="L46" s="158"/>
    </row>
    <row r="47" spans="1:13" s="19" customFormat="1" x14ac:dyDescent="0.25">
      <c r="A47" s="258"/>
      <c r="B47" s="161"/>
      <c r="C47" s="161"/>
      <c r="E47" s="161"/>
      <c r="F47" s="161"/>
      <c r="G47" s="161"/>
      <c r="H47" s="161"/>
      <c r="I47" s="161"/>
      <c r="J47" s="161"/>
      <c r="K47" s="161"/>
      <c r="L47" s="161"/>
    </row>
    <row r="48" spans="1:13" s="19" customFormat="1" x14ac:dyDescent="0.25">
      <c r="A48" s="258"/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</row>
    <row r="49" spans="1:13" s="19" customFormat="1" x14ac:dyDescent="0.25">
      <c r="A49" s="258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</row>
    <row r="50" spans="1:13" s="19" customFormat="1" x14ac:dyDescent="0.25">
      <c r="A50" s="291"/>
      <c r="B50" s="138"/>
      <c r="C50" s="159"/>
      <c r="D50" s="159"/>
      <c r="E50" s="159"/>
      <c r="F50" s="159"/>
      <c r="G50" s="159"/>
      <c r="H50" s="159"/>
      <c r="I50" s="157"/>
      <c r="J50" s="161"/>
      <c r="K50" s="15"/>
      <c r="L50" s="161"/>
      <c r="M50" s="161"/>
    </row>
    <row r="51" spans="1:13" x14ac:dyDescent="0.25">
      <c r="A51" s="260"/>
      <c r="B51" s="205"/>
      <c r="C51" s="258"/>
      <c r="D51" s="258"/>
      <c r="E51" s="258"/>
      <c r="F51" s="258"/>
      <c r="G51" s="258"/>
      <c r="H51" s="258"/>
      <c r="I51" s="258"/>
      <c r="J51" s="260"/>
      <c r="K51" s="205"/>
      <c r="L51" s="258"/>
      <c r="M51" s="258"/>
    </row>
    <row r="52" spans="1:13" x14ac:dyDescent="0.25">
      <c r="A52" s="261"/>
      <c r="B52" s="205"/>
      <c r="C52" s="258"/>
      <c r="D52" s="258"/>
      <c r="E52" s="258"/>
      <c r="F52" s="258"/>
      <c r="G52" s="258"/>
      <c r="H52" s="258"/>
      <c r="I52" s="258"/>
      <c r="J52" s="261"/>
      <c r="K52" s="205"/>
      <c r="L52" s="258"/>
      <c r="M52" s="258"/>
    </row>
    <row r="53" spans="1:13" x14ac:dyDescent="0.25">
      <c r="A53" s="262"/>
      <c r="B53" s="205"/>
      <c r="C53" s="263"/>
      <c r="D53" s="258"/>
      <c r="E53" s="258"/>
      <c r="F53" s="258"/>
      <c r="G53" s="258"/>
      <c r="H53" s="258"/>
      <c r="I53" s="258"/>
      <c r="J53" s="262"/>
      <c r="K53" s="205"/>
      <c r="L53" s="263"/>
      <c r="M53" s="258"/>
    </row>
    <row r="54" spans="1:13" x14ac:dyDescent="0.25">
      <c r="A54" s="262"/>
      <c r="B54" s="205"/>
      <c r="C54" s="258"/>
      <c r="D54" s="258"/>
      <c r="E54" s="258"/>
      <c r="F54" s="257"/>
      <c r="G54" s="258"/>
      <c r="H54" s="258"/>
      <c r="I54" s="258"/>
      <c r="J54" s="262"/>
      <c r="K54" s="205"/>
      <c r="L54" s="258"/>
      <c r="M54" s="258"/>
    </row>
    <row r="55" spans="1:13" x14ac:dyDescent="0.25">
      <c r="A55" s="258"/>
      <c r="B55" s="258"/>
      <c r="C55" s="258"/>
      <c r="D55" s="258"/>
      <c r="E55" s="258"/>
      <c r="F55" s="258"/>
      <c r="G55" s="258"/>
      <c r="H55" s="258"/>
      <c r="I55" s="258"/>
      <c r="J55" s="258"/>
      <c r="K55" s="258"/>
      <c r="L55" s="258"/>
      <c r="M55" s="258"/>
    </row>
    <row r="56" spans="1:13" x14ac:dyDescent="0.25">
      <c r="A56" s="258"/>
      <c r="B56" s="258"/>
      <c r="C56" s="258"/>
      <c r="D56" s="258"/>
      <c r="E56" s="258"/>
      <c r="F56" s="258"/>
      <c r="G56" s="258"/>
      <c r="H56" s="258"/>
      <c r="I56" s="258"/>
      <c r="J56" s="258"/>
      <c r="K56" s="258"/>
      <c r="L56" s="258"/>
      <c r="M56" s="258"/>
    </row>
    <row r="57" spans="1:13" x14ac:dyDescent="0.25">
      <c r="A57" s="258"/>
      <c r="B57" s="264"/>
      <c r="C57" s="258"/>
      <c r="D57" s="258"/>
      <c r="E57" s="258"/>
      <c r="F57" s="258"/>
      <c r="G57" s="258"/>
      <c r="H57" s="258"/>
      <c r="I57" s="258"/>
      <c r="J57" s="258"/>
      <c r="K57" s="264"/>
      <c r="L57" s="258"/>
      <c r="M57" s="258"/>
    </row>
    <row r="58" spans="1:13" x14ac:dyDescent="0.25">
      <c r="A58" s="265"/>
      <c r="B58" s="264"/>
      <c r="C58" s="258"/>
      <c r="D58" s="258"/>
      <c r="E58" s="258"/>
      <c r="F58" s="258"/>
      <c r="G58" s="258"/>
      <c r="H58" s="258"/>
      <c r="I58" s="258"/>
      <c r="J58" s="265"/>
      <c r="K58" s="266"/>
      <c r="L58" s="265"/>
      <c r="M58" s="265"/>
    </row>
    <row r="59" spans="1:13" x14ac:dyDescent="0.25">
      <c r="A59" s="265"/>
      <c r="B59" s="264"/>
      <c r="C59" s="258"/>
      <c r="D59" s="258"/>
      <c r="E59" s="258"/>
      <c r="F59" s="258"/>
      <c r="G59" s="258"/>
      <c r="H59" s="258"/>
      <c r="I59" s="258"/>
      <c r="J59" s="265"/>
      <c r="K59" s="266"/>
      <c r="L59" s="265"/>
      <c r="M59" s="265"/>
    </row>
    <row r="60" spans="1:13" x14ac:dyDescent="0.25">
      <c r="A60" s="265"/>
      <c r="B60" s="258"/>
      <c r="C60" s="258"/>
      <c r="D60" s="258"/>
      <c r="E60" s="258"/>
      <c r="F60" s="258"/>
      <c r="G60" s="258"/>
      <c r="H60" s="267"/>
      <c r="I60" s="258"/>
      <c r="J60" s="265"/>
      <c r="K60" s="265"/>
      <c r="L60" s="265"/>
      <c r="M60" s="265"/>
    </row>
    <row r="61" spans="1:13" x14ac:dyDescent="0.25">
      <c r="A61" s="265"/>
      <c r="B61" s="258"/>
      <c r="C61" s="267"/>
      <c r="D61" s="268"/>
      <c r="E61" s="258"/>
      <c r="F61" s="258"/>
      <c r="G61" s="258"/>
      <c r="H61" s="267"/>
      <c r="I61" s="258"/>
      <c r="J61" s="265"/>
      <c r="K61" s="265"/>
      <c r="L61" s="269"/>
      <c r="M61" s="270"/>
    </row>
    <row r="62" spans="1:13" x14ac:dyDescent="0.25">
      <c r="A62" s="265"/>
      <c r="B62" s="258"/>
      <c r="C62" s="258"/>
      <c r="D62" s="258"/>
      <c r="E62" s="258"/>
      <c r="F62" s="258"/>
      <c r="G62" s="258"/>
      <c r="H62" s="258"/>
      <c r="I62" s="258"/>
      <c r="J62" s="265"/>
      <c r="K62" s="265"/>
      <c r="L62" s="265"/>
      <c r="M62" s="265"/>
    </row>
    <row r="63" spans="1:13" x14ac:dyDescent="0.25">
      <c r="A63" s="258"/>
      <c r="B63" s="255"/>
      <c r="J63" s="258"/>
      <c r="K63" s="256"/>
    </row>
    <row r="64" spans="1:13" x14ac:dyDescent="0.25">
      <c r="A64" s="258"/>
      <c r="J64" s="258"/>
    </row>
    <row r="65" spans="1:10" x14ac:dyDescent="0.25">
      <c r="A65" s="258"/>
      <c r="J65" s="258"/>
    </row>
    <row r="66" spans="1:10" x14ac:dyDescent="0.25">
      <c r="A66" s="258"/>
      <c r="J66" s="258"/>
    </row>
    <row r="67" spans="1:10" x14ac:dyDescent="0.25">
      <c r="A67" s="271"/>
      <c r="B67" s="272"/>
      <c r="C67" s="272"/>
      <c r="D67" s="272"/>
      <c r="E67" s="272"/>
      <c r="F67" s="272"/>
      <c r="G67" s="272"/>
      <c r="H67" s="272"/>
      <c r="I67" s="272"/>
    </row>
  </sheetData>
  <conditionalFormatting sqref="B31">
    <cfRule type="cellIs" dxfId="3" priority="1" operator="greaterThan">
      <formula>0</formula>
    </cfRule>
  </conditionalFormatting>
  <hyperlinks>
    <hyperlink ref="A1" location="Index!A1" display="Back to Index" xr:uid="{2F93103C-B9BF-4A92-B38F-2F215D80E8AE}"/>
  </hyperlinks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2E75-5563-4E87-9406-433843172C33}">
  <sheetPr codeName="Sheet13"/>
  <dimension ref="A1:M67"/>
  <sheetViews>
    <sheetView showGridLines="0" zoomScale="85" zoomScaleNormal="85" workbookViewId="0">
      <selection activeCell="H32" sqref="H32"/>
    </sheetView>
  </sheetViews>
  <sheetFormatPr defaultRowHeight="15" x14ac:dyDescent="0.25"/>
  <cols>
    <col min="1" max="1" width="35.7109375" style="68" bestFit="1" customWidth="1"/>
    <col min="2" max="2" width="19" style="68" bestFit="1" customWidth="1"/>
    <col min="3" max="3" width="21.140625" style="68" bestFit="1" customWidth="1"/>
    <col min="4" max="4" width="17" style="68" bestFit="1" customWidth="1"/>
    <col min="5" max="5" width="20.42578125" style="68" bestFit="1" customWidth="1"/>
    <col min="6" max="7" width="16.42578125" style="68" bestFit="1" customWidth="1"/>
    <col min="8" max="8" width="19.140625" style="68" bestFit="1" customWidth="1"/>
    <col min="9" max="9" width="30.28515625" style="68" bestFit="1" customWidth="1"/>
    <col min="10" max="10" width="9.140625" style="68"/>
    <col min="11" max="11" width="12.7109375" style="68" bestFit="1" customWidth="1"/>
    <col min="12" max="16384" width="9.140625" style="68"/>
  </cols>
  <sheetData>
    <row r="1" spans="1:13" s="169" customFormat="1" x14ac:dyDescent="0.25">
      <c r="A1" s="168" t="s">
        <v>5</v>
      </c>
    </row>
    <row r="2" spans="1:13" s="169" customFormat="1" x14ac:dyDescent="0.25">
      <c r="A2" s="168"/>
    </row>
    <row r="3" spans="1:13" x14ac:dyDescent="0.25">
      <c r="A3" s="122" t="s">
        <v>8</v>
      </c>
      <c r="B3" s="77"/>
      <c r="C3" s="77"/>
      <c r="D3" s="77"/>
      <c r="E3" s="77"/>
      <c r="F3" s="77"/>
      <c r="G3" s="77"/>
      <c r="H3" s="77"/>
      <c r="I3" s="172"/>
    </row>
    <row r="4" spans="1:13" x14ac:dyDescent="0.25">
      <c r="A4" s="102"/>
      <c r="I4" s="173" t="s">
        <v>47</v>
      </c>
    </row>
    <row r="5" spans="1:13" x14ac:dyDescent="0.25">
      <c r="A5" s="91" t="s">
        <v>7</v>
      </c>
      <c r="B5" s="123">
        <v>44896</v>
      </c>
      <c r="C5" s="119">
        <v>45291</v>
      </c>
      <c r="D5" s="119">
        <v>45657</v>
      </c>
      <c r="E5" s="119">
        <v>46022</v>
      </c>
      <c r="F5" s="119">
        <v>46387</v>
      </c>
      <c r="G5" s="119">
        <v>46752</v>
      </c>
      <c r="H5" s="119">
        <v>47118</v>
      </c>
      <c r="I5" s="173"/>
    </row>
    <row r="6" spans="1:13" x14ac:dyDescent="0.25">
      <c r="A6" s="13" t="s">
        <v>23</v>
      </c>
      <c r="F6" s="124">
        <v>405194564.9186781</v>
      </c>
      <c r="G6" s="124">
        <v>302041607.6473853</v>
      </c>
      <c r="H6" s="124">
        <v>254507861.03048578</v>
      </c>
      <c r="I6" s="173" t="s">
        <v>142</v>
      </c>
    </row>
    <row r="7" spans="1:13" x14ac:dyDescent="0.25">
      <c r="A7" s="13" t="s">
        <v>24</v>
      </c>
      <c r="C7" s="125">
        <v>160752685.79195452</v>
      </c>
      <c r="D7" s="125">
        <v>163011437.46125957</v>
      </c>
      <c r="E7" s="125">
        <v>159504681.57381162</v>
      </c>
      <c r="I7" s="173" t="s">
        <v>143</v>
      </c>
    </row>
    <row r="8" spans="1:13" x14ac:dyDescent="0.25">
      <c r="A8" s="13" t="s">
        <v>16</v>
      </c>
      <c r="B8" s="126">
        <v>0</v>
      </c>
      <c r="C8" s="126">
        <v>0</v>
      </c>
      <c r="D8" s="126">
        <v>0</v>
      </c>
      <c r="E8" s="126">
        <v>8103891.2983735623</v>
      </c>
      <c r="F8" s="126">
        <v>6040832.1529477062</v>
      </c>
      <c r="G8" s="126">
        <v>5090157.2206097161</v>
      </c>
      <c r="H8" s="126">
        <v>0</v>
      </c>
      <c r="I8" s="173" t="s">
        <v>130</v>
      </c>
    </row>
    <row r="9" spans="1:13" x14ac:dyDescent="0.25">
      <c r="A9" s="19" t="s">
        <v>63</v>
      </c>
      <c r="B9" s="16">
        <v>0.4</v>
      </c>
      <c r="C9" s="127"/>
      <c r="D9" s="121"/>
      <c r="E9" s="121"/>
      <c r="F9" s="121"/>
      <c r="G9" s="121"/>
      <c r="H9" s="121"/>
      <c r="I9" s="173" t="s">
        <v>58</v>
      </c>
    </row>
    <row r="10" spans="1:13" x14ac:dyDescent="0.25">
      <c r="A10" s="19" t="s">
        <v>76</v>
      </c>
      <c r="B10" s="128">
        <v>0.1</v>
      </c>
      <c r="C10" s="127"/>
      <c r="D10" s="121"/>
      <c r="F10" s="121"/>
      <c r="G10" s="121"/>
      <c r="H10" s="121"/>
      <c r="I10" s="173" t="s">
        <v>58</v>
      </c>
    </row>
    <row r="11" spans="1:13" x14ac:dyDescent="0.25">
      <c r="A11" s="19" t="s">
        <v>81</v>
      </c>
      <c r="B11" s="129">
        <v>8.7400000000000005E-2</v>
      </c>
      <c r="C11" s="130"/>
      <c r="D11" s="121"/>
      <c r="E11" s="121"/>
      <c r="F11" s="121"/>
      <c r="G11" s="121"/>
      <c r="H11" s="121"/>
      <c r="I11" s="174">
        <v>44889</v>
      </c>
    </row>
    <row r="12" spans="1:13" x14ac:dyDescent="0.25">
      <c r="A12" s="19" t="s">
        <v>93</v>
      </c>
      <c r="B12" s="129">
        <v>9.3700000000000006E-2</v>
      </c>
      <c r="C12" s="127"/>
      <c r="D12" s="121"/>
      <c r="E12" s="121"/>
      <c r="F12" s="121"/>
      <c r="G12" s="121"/>
      <c r="H12" s="121"/>
      <c r="I12" s="173" t="s">
        <v>147</v>
      </c>
    </row>
    <row r="13" spans="1:13" x14ac:dyDescent="0.25">
      <c r="A13" s="19" t="s">
        <v>96</v>
      </c>
      <c r="B13" s="76">
        <v>3.78E-2</v>
      </c>
      <c r="C13" s="121"/>
      <c r="D13" s="121"/>
      <c r="E13" s="121"/>
      <c r="F13" s="121"/>
      <c r="G13" s="121"/>
      <c r="H13" s="121"/>
      <c r="I13" s="173" t="s">
        <v>146</v>
      </c>
    </row>
    <row r="14" spans="1:13" ht="15" customHeight="1" x14ac:dyDescent="0.25">
      <c r="A14" s="91" t="s">
        <v>7</v>
      </c>
      <c r="B14" s="123">
        <v>44896</v>
      </c>
      <c r="C14" s="119">
        <v>45291</v>
      </c>
      <c r="D14" s="119">
        <v>45657</v>
      </c>
      <c r="E14" s="119">
        <v>46022</v>
      </c>
      <c r="F14" s="119">
        <v>46387</v>
      </c>
      <c r="G14" s="119">
        <v>46752</v>
      </c>
      <c r="H14" s="119">
        <v>47118</v>
      </c>
      <c r="I14" s="175" t="s">
        <v>47</v>
      </c>
      <c r="J14" s="131"/>
      <c r="K14" s="257"/>
      <c r="L14" s="258"/>
      <c r="M14" s="258"/>
    </row>
    <row r="15" spans="1:13" ht="15" customHeight="1" x14ac:dyDescent="0.25">
      <c r="A15" s="13" t="s">
        <v>23</v>
      </c>
      <c r="B15" s="132"/>
      <c r="C15" s="52">
        <v>0</v>
      </c>
      <c r="D15" s="133">
        <v>0</v>
      </c>
      <c r="E15" s="133">
        <v>0</v>
      </c>
      <c r="F15" s="133">
        <v>405194564.9186781</v>
      </c>
      <c r="G15" s="133">
        <v>302041607.6473853</v>
      </c>
      <c r="H15" s="133">
        <v>254507861.03048578</v>
      </c>
      <c r="I15" s="175" t="s">
        <v>142</v>
      </c>
      <c r="J15" s="131"/>
      <c r="K15" s="257"/>
      <c r="L15" s="258"/>
      <c r="M15" s="258"/>
    </row>
    <row r="16" spans="1:13" ht="15" customHeight="1" x14ac:dyDescent="0.25">
      <c r="A16" s="13" t="s">
        <v>24</v>
      </c>
      <c r="B16" s="132"/>
      <c r="C16" s="133">
        <v>160752685.79195452</v>
      </c>
      <c r="D16" s="133">
        <v>163011437.46125957</v>
      </c>
      <c r="E16" s="133">
        <v>159504681.57381162</v>
      </c>
      <c r="F16" s="52">
        <v>0</v>
      </c>
      <c r="G16" s="52">
        <v>0</v>
      </c>
      <c r="H16" s="52">
        <v>0</v>
      </c>
      <c r="I16" s="175" t="s">
        <v>143</v>
      </c>
      <c r="J16" s="131"/>
      <c r="K16" s="257"/>
      <c r="L16" s="258"/>
      <c r="M16" s="258"/>
    </row>
    <row r="17" spans="1:13" ht="15" customHeight="1" x14ac:dyDescent="0.25">
      <c r="A17" s="135" t="s">
        <v>18</v>
      </c>
      <c r="B17" s="136"/>
      <c r="C17" s="136">
        <v>0</v>
      </c>
      <c r="D17" s="136">
        <v>0</v>
      </c>
      <c r="E17" s="136">
        <v>0</v>
      </c>
      <c r="F17" s="136">
        <v>-578849.37845525448</v>
      </c>
      <c r="G17" s="136">
        <v>-578849.37845525448</v>
      </c>
      <c r="H17" s="136">
        <v>-578849.37845525448</v>
      </c>
      <c r="I17" s="175" t="s">
        <v>70</v>
      </c>
      <c r="J17" s="131"/>
      <c r="K17" s="257"/>
      <c r="L17" s="258"/>
      <c r="M17" s="258"/>
    </row>
    <row r="18" spans="1:13" ht="15" customHeight="1" x14ac:dyDescent="0.25">
      <c r="A18" s="137" t="s">
        <v>71</v>
      </c>
      <c r="B18" s="138"/>
      <c r="C18" s="139">
        <v>-160752685.79195452</v>
      </c>
      <c r="D18" s="139">
        <v>-163011437.46125957</v>
      </c>
      <c r="E18" s="139">
        <v>-159504681.57381162</v>
      </c>
      <c r="F18" s="139">
        <v>405773414.29713339</v>
      </c>
      <c r="G18" s="139">
        <v>302620457.02584058</v>
      </c>
      <c r="H18" s="139">
        <v>255086710.40894103</v>
      </c>
      <c r="I18" s="175" t="s">
        <v>83</v>
      </c>
      <c r="J18" s="131"/>
      <c r="K18" s="257"/>
      <c r="L18" s="258"/>
      <c r="M18" s="258"/>
    </row>
    <row r="19" spans="1:13" s="19" customFormat="1" ht="15" customHeight="1" x14ac:dyDescent="0.25">
      <c r="A19" s="13" t="s">
        <v>72</v>
      </c>
      <c r="B19" s="140"/>
      <c r="C19" s="141">
        <v>-64301074.316781811</v>
      </c>
      <c r="D19" s="141">
        <v>-65204574.984503835</v>
      </c>
      <c r="E19" s="141">
        <v>-63801872.629524648</v>
      </c>
      <c r="F19" s="141">
        <v>162309365.71885335</v>
      </c>
      <c r="G19" s="141">
        <v>121048182.81033623</v>
      </c>
      <c r="H19" s="141">
        <v>102034684.16357642</v>
      </c>
      <c r="I19" s="176" t="s">
        <v>84</v>
      </c>
      <c r="J19" s="142"/>
      <c r="K19" s="4"/>
      <c r="L19" s="161"/>
      <c r="M19" s="161"/>
    </row>
    <row r="20" spans="1:13" s="20" customFormat="1" ht="15" customHeight="1" x14ac:dyDescent="0.25">
      <c r="A20" s="137" t="s">
        <v>74</v>
      </c>
      <c r="B20" s="143"/>
      <c r="C20" s="144">
        <v>-96451611.475172698</v>
      </c>
      <c r="D20" s="144">
        <v>-97806862.476755738</v>
      </c>
      <c r="E20" s="144">
        <v>-95702808.944286972</v>
      </c>
      <c r="F20" s="144">
        <v>243464048.57828003</v>
      </c>
      <c r="G20" s="144">
        <v>181572274.21550435</v>
      </c>
      <c r="H20" s="144">
        <v>153052026.24536461</v>
      </c>
      <c r="I20" s="176" t="s">
        <v>85</v>
      </c>
      <c r="J20" s="145"/>
      <c r="K20" s="259"/>
      <c r="L20" s="259"/>
      <c r="M20" s="259"/>
    </row>
    <row r="21" spans="1:13" s="20" customFormat="1" ht="15" customHeight="1" x14ac:dyDescent="0.25">
      <c r="A21" s="135" t="s">
        <v>18</v>
      </c>
      <c r="B21" s="143"/>
      <c r="C21" s="133">
        <v>0</v>
      </c>
      <c r="D21" s="133">
        <v>0</v>
      </c>
      <c r="E21" s="133">
        <v>0</v>
      </c>
      <c r="F21" s="133">
        <v>-578849.37845525448</v>
      </c>
      <c r="G21" s="133">
        <v>-578849.37845525448</v>
      </c>
      <c r="H21" s="133">
        <v>-578849.37845525448</v>
      </c>
      <c r="I21" s="176" t="s">
        <v>86</v>
      </c>
      <c r="J21" s="145"/>
      <c r="K21" s="259"/>
      <c r="L21" s="259"/>
      <c r="M21" s="259"/>
    </row>
    <row r="22" spans="1:13" s="19" customFormat="1" ht="15" customHeight="1" x14ac:dyDescent="0.25">
      <c r="A22" s="142" t="s">
        <v>17</v>
      </c>
      <c r="B22" s="146">
        <v>0</v>
      </c>
      <c r="C22" s="146">
        <v>0</v>
      </c>
      <c r="D22" s="146">
        <v>0</v>
      </c>
      <c r="E22" s="146">
        <v>-4051945.6491867811</v>
      </c>
      <c r="F22" s="146">
        <v>0</v>
      </c>
      <c r="G22" s="146">
        <v>0</v>
      </c>
      <c r="H22" s="146">
        <v>2315397.5138210179</v>
      </c>
      <c r="I22" s="176" t="s">
        <v>87</v>
      </c>
      <c r="J22" s="142"/>
      <c r="K22" s="4"/>
      <c r="L22" s="161"/>
      <c r="M22" s="161"/>
    </row>
    <row r="23" spans="1:13" s="19" customFormat="1" ht="15" customHeight="1" x14ac:dyDescent="0.25">
      <c r="A23" s="13" t="s">
        <v>16</v>
      </c>
      <c r="B23" s="126">
        <v>0</v>
      </c>
      <c r="C23" s="126">
        <v>0</v>
      </c>
      <c r="D23" s="126">
        <v>0</v>
      </c>
      <c r="E23" s="126">
        <v>8103891.2983735623</v>
      </c>
      <c r="F23" s="126">
        <v>6040832.1529477062</v>
      </c>
      <c r="G23" s="126">
        <v>5090157.2206097161</v>
      </c>
      <c r="H23" s="126">
        <v>0</v>
      </c>
      <c r="I23" s="176" t="s">
        <v>130</v>
      </c>
      <c r="J23" s="142"/>
      <c r="K23" s="4"/>
      <c r="L23" s="161"/>
      <c r="M23" s="161"/>
    </row>
    <row r="24" spans="1:13" s="19" customFormat="1" ht="15" customHeight="1" x14ac:dyDescent="0.25">
      <c r="A24" s="13" t="s">
        <v>73</v>
      </c>
      <c r="B24" s="146">
        <v>0</v>
      </c>
      <c r="C24" s="147">
        <v>0</v>
      </c>
      <c r="D24" s="147">
        <v>0</v>
      </c>
      <c r="E24" s="147">
        <v>8103891.2983735623</v>
      </c>
      <c r="F24" s="147">
        <v>-2063059.1454258561</v>
      </c>
      <c r="G24" s="147">
        <v>-950674.93233799003</v>
      </c>
      <c r="H24" s="147">
        <v>-5090157.2206097161</v>
      </c>
      <c r="I24" s="176" t="s">
        <v>88</v>
      </c>
      <c r="J24" s="142"/>
      <c r="K24" s="4"/>
      <c r="L24" s="161"/>
      <c r="M24" s="161"/>
    </row>
    <row r="25" spans="1:13" s="19" customFormat="1" ht="15" customHeight="1" x14ac:dyDescent="0.25">
      <c r="A25" s="137" t="s">
        <v>77</v>
      </c>
      <c r="B25" s="148">
        <v>0</v>
      </c>
      <c r="C25" s="148">
        <v>-96451611.475172698</v>
      </c>
      <c r="D25" s="148">
        <v>-97806862.476755738</v>
      </c>
      <c r="E25" s="148">
        <v>-107858645.89184731</v>
      </c>
      <c r="F25" s="148">
        <v>244948258.34525064</v>
      </c>
      <c r="G25" s="148">
        <v>181944099.7693871</v>
      </c>
      <c r="H25" s="148">
        <v>159878731.60134009</v>
      </c>
      <c r="I25" s="176" t="s">
        <v>89</v>
      </c>
      <c r="J25" s="142"/>
      <c r="K25" s="4"/>
      <c r="L25" s="161"/>
      <c r="M25" s="161"/>
    </row>
    <row r="26" spans="1:13" s="19" customFormat="1" ht="15" customHeight="1" x14ac:dyDescent="0.25">
      <c r="A26" s="149" t="s">
        <v>75</v>
      </c>
      <c r="B26" s="150">
        <v>127450990.05653711</v>
      </c>
      <c r="C26" s="134"/>
      <c r="D26" s="134"/>
      <c r="E26" s="134"/>
      <c r="F26" s="151"/>
      <c r="G26" s="151"/>
      <c r="H26" s="151"/>
      <c r="I26" s="176" t="s">
        <v>82</v>
      </c>
      <c r="J26" s="142"/>
      <c r="K26" s="4"/>
      <c r="L26" s="161"/>
      <c r="M26" s="161"/>
    </row>
    <row r="27" spans="1:13" s="19" customFormat="1" ht="15" customHeight="1" x14ac:dyDescent="0.25">
      <c r="A27" s="88"/>
      <c r="B27" s="152"/>
      <c r="C27" s="151"/>
      <c r="D27" s="151"/>
      <c r="E27" s="151"/>
      <c r="F27" s="151"/>
      <c r="G27" s="151"/>
      <c r="H27" s="151"/>
      <c r="I27" s="176"/>
      <c r="J27" s="142"/>
      <c r="K27" s="4"/>
      <c r="L27" s="161"/>
      <c r="M27" s="161"/>
    </row>
    <row r="28" spans="1:13" s="19" customFormat="1" ht="15" customHeight="1" x14ac:dyDescent="0.25">
      <c r="A28" s="3" t="s">
        <v>35</v>
      </c>
      <c r="B28" s="12"/>
      <c r="C28" s="12"/>
      <c r="D28" s="12"/>
      <c r="E28" s="12"/>
      <c r="F28" s="12"/>
      <c r="G28" s="151"/>
      <c r="H28" s="151"/>
      <c r="I28" s="176"/>
      <c r="J28" s="142"/>
      <c r="K28" s="4"/>
      <c r="L28" s="161"/>
      <c r="M28" s="161"/>
    </row>
    <row r="29" spans="1:13" s="19" customFormat="1" ht="15" customHeight="1" x14ac:dyDescent="0.25">
      <c r="A29" s="153" t="s">
        <v>78</v>
      </c>
      <c r="B29" s="154">
        <v>127450990.05653711</v>
      </c>
      <c r="C29" s="13" t="s">
        <v>6</v>
      </c>
      <c r="D29" s="13"/>
      <c r="E29" s="13"/>
      <c r="F29" s="13"/>
      <c r="G29" s="13"/>
      <c r="H29" s="13"/>
      <c r="I29" s="176" t="s">
        <v>90</v>
      </c>
      <c r="J29" s="142"/>
      <c r="K29" s="4"/>
      <c r="L29" s="161"/>
      <c r="M29" s="161"/>
    </row>
    <row r="30" spans="1:13" s="19" customFormat="1" ht="15" customHeight="1" x14ac:dyDescent="0.25">
      <c r="A30" s="153" t="s">
        <v>79</v>
      </c>
      <c r="B30" s="154">
        <v>1696630.6427673697</v>
      </c>
      <c r="C30" s="13" t="s">
        <v>6</v>
      </c>
      <c r="D30" s="13"/>
      <c r="E30" s="13"/>
      <c r="F30" s="13"/>
      <c r="G30" s="13"/>
      <c r="H30" s="13"/>
      <c r="I30" s="176" t="s">
        <v>91</v>
      </c>
      <c r="J30" s="142"/>
      <c r="K30" s="4"/>
      <c r="L30" s="161"/>
      <c r="M30" s="161"/>
    </row>
    <row r="31" spans="1:13" s="19" customFormat="1" ht="15" customHeight="1" x14ac:dyDescent="0.25">
      <c r="A31" s="153" t="s">
        <v>80</v>
      </c>
      <c r="B31" s="155">
        <v>129147620.69930448</v>
      </c>
      <c r="C31" s="46" t="s">
        <v>138</v>
      </c>
      <c r="D31" s="12"/>
      <c r="E31" s="48"/>
      <c r="F31" s="12"/>
      <c r="G31" s="12"/>
      <c r="H31" s="12"/>
      <c r="I31" s="177" t="s">
        <v>92</v>
      </c>
      <c r="J31" s="142"/>
      <c r="K31" s="4"/>
      <c r="L31" s="161"/>
      <c r="M31" s="161"/>
    </row>
    <row r="32" spans="1:13" s="19" customFormat="1" ht="15" customHeight="1" x14ac:dyDescent="0.25">
      <c r="A32" s="249"/>
      <c r="B32" s="13"/>
      <c r="C32" s="13"/>
      <c r="D32" s="17"/>
      <c r="E32" s="50"/>
      <c r="F32" s="13"/>
      <c r="G32" s="13"/>
      <c r="H32" s="13"/>
      <c r="I32" s="137"/>
      <c r="J32" s="142"/>
      <c r="K32" s="4"/>
      <c r="L32" s="161"/>
      <c r="M32" s="161"/>
    </row>
    <row r="33" spans="1:13" s="19" customFormat="1" ht="15" customHeight="1" x14ac:dyDescent="0.25">
      <c r="A33" s="193" t="s">
        <v>139</v>
      </c>
      <c r="B33" s="193"/>
      <c r="C33" s="14"/>
      <c r="D33" s="17"/>
      <c r="E33" s="50"/>
      <c r="F33" s="14"/>
      <c r="G33" s="156"/>
      <c r="H33" s="156"/>
      <c r="I33" s="157"/>
      <c r="J33" s="158"/>
      <c r="K33" s="4"/>
      <c r="L33" s="161"/>
      <c r="M33" s="161"/>
    </row>
    <row r="34" spans="1:13" s="19" customFormat="1" ht="15" customHeight="1" x14ac:dyDescent="0.25">
      <c r="A34" s="54" t="s">
        <v>140</v>
      </c>
      <c r="B34" s="54" t="s">
        <v>141</v>
      </c>
      <c r="C34" s="15"/>
      <c r="D34" s="17"/>
      <c r="E34" s="51"/>
      <c r="F34" s="159"/>
      <c r="G34" s="159"/>
      <c r="H34" s="159"/>
      <c r="I34" s="157"/>
      <c r="J34" s="158"/>
      <c r="K34" s="4"/>
      <c r="L34" s="161"/>
      <c r="M34" s="161"/>
    </row>
    <row r="35" spans="1:13" s="19" customFormat="1" ht="15" customHeight="1" x14ac:dyDescent="0.25">
      <c r="A35" s="55"/>
      <c r="B35" s="58">
        <v>127450990.05653711</v>
      </c>
      <c r="C35" s="15"/>
      <c r="D35" s="47"/>
      <c r="E35" s="51"/>
      <c r="F35" s="159"/>
      <c r="G35" s="159"/>
      <c r="H35" s="159"/>
      <c r="I35" s="157"/>
      <c r="J35" s="158"/>
      <c r="K35" s="4"/>
      <c r="L35" s="161"/>
      <c r="M35" s="161"/>
    </row>
    <row r="36" spans="1:13" s="19" customFormat="1" ht="15" customHeight="1" x14ac:dyDescent="0.25">
      <c r="A36" s="56">
        <v>3.0299999999999997E-2</v>
      </c>
      <c r="B36" s="53">
        <v>14064212.808628231</v>
      </c>
      <c r="C36" s="159"/>
      <c r="D36" s="49"/>
      <c r="E36" s="52"/>
      <c r="F36" s="159"/>
      <c r="G36" s="159"/>
      <c r="H36" s="159"/>
      <c r="I36" s="157"/>
      <c r="J36" s="158"/>
      <c r="K36" s="4"/>
      <c r="L36" s="161"/>
      <c r="M36" s="161"/>
    </row>
    <row r="37" spans="1:13" s="19" customFormat="1" ht="15" customHeight="1" x14ac:dyDescent="0.25">
      <c r="A37" s="56">
        <v>3.2799999999999996E-2</v>
      </c>
      <c r="B37" s="53">
        <v>152596413.7539199</v>
      </c>
      <c r="C37" s="159"/>
      <c r="D37" s="49"/>
      <c r="E37" s="52"/>
      <c r="F37" s="159"/>
      <c r="G37" s="159"/>
      <c r="H37" s="159"/>
      <c r="I37" s="157"/>
      <c r="J37" s="158"/>
      <c r="K37" s="4"/>
      <c r="L37" s="161"/>
      <c r="M37" s="161"/>
    </row>
    <row r="38" spans="1:13" s="19" customFormat="1" ht="15" customHeight="1" x14ac:dyDescent="0.25">
      <c r="A38" s="56">
        <v>3.5299999999999998E-2</v>
      </c>
      <c r="B38" s="59">
        <v>71401687.964825466</v>
      </c>
      <c r="C38" s="159"/>
      <c r="D38" s="49"/>
      <c r="E38" s="52"/>
      <c r="F38" s="159"/>
      <c r="G38" s="159"/>
      <c r="H38" s="159"/>
      <c r="I38" s="157"/>
      <c r="J38" s="158"/>
      <c r="K38" s="4"/>
      <c r="L38" s="161"/>
      <c r="M38" s="161"/>
    </row>
    <row r="39" spans="1:13" s="19" customFormat="1" ht="15" customHeight="1" x14ac:dyDescent="0.25">
      <c r="A39" s="57">
        <v>3.78E-2</v>
      </c>
      <c r="B39" s="59">
        <v>182648616.85564297</v>
      </c>
      <c r="C39" s="17"/>
      <c r="D39" s="17"/>
      <c r="E39" s="17"/>
      <c r="F39" s="17"/>
      <c r="G39" s="159"/>
      <c r="H39" s="159"/>
      <c r="I39" s="157"/>
      <c r="J39" s="158"/>
      <c r="K39" s="4"/>
      <c r="L39" s="161"/>
      <c r="M39" s="161"/>
    </row>
    <row r="40" spans="1:13" s="19" customFormat="1" ht="15" customHeight="1" x14ac:dyDescent="0.25">
      <c r="A40" s="56">
        <v>4.0300000000000002E-2</v>
      </c>
      <c r="B40" s="53">
        <v>109681971.46383169</v>
      </c>
      <c r="C40" s="18"/>
      <c r="D40" s="18"/>
      <c r="E40" s="18"/>
      <c r="F40" s="18"/>
      <c r="G40" s="159"/>
      <c r="H40" s="159"/>
      <c r="I40" s="157"/>
      <c r="J40" s="158"/>
      <c r="K40" s="4"/>
      <c r="L40" s="161"/>
      <c r="M40" s="161"/>
    </row>
    <row r="41" spans="1:13" s="19" customFormat="1" ht="15" customHeight="1" x14ac:dyDescent="0.25">
      <c r="A41" s="56">
        <v>4.2800000000000005E-2</v>
      </c>
      <c r="B41" s="53">
        <v>5266600.7214716524</v>
      </c>
      <c r="C41" s="18"/>
      <c r="D41" s="18"/>
      <c r="E41" s="18"/>
      <c r="F41" s="18"/>
      <c r="G41" s="160"/>
      <c r="H41" s="160"/>
      <c r="I41" s="160"/>
      <c r="J41" s="161"/>
      <c r="K41" s="15"/>
      <c r="L41" s="160"/>
    </row>
    <row r="42" spans="1:13" s="19" customFormat="1" ht="15" customHeight="1" x14ac:dyDescent="0.25">
      <c r="A42" s="56">
        <v>4.5300000000000007E-2</v>
      </c>
      <c r="B42" s="53">
        <v>122704855.82208553</v>
      </c>
      <c r="C42" s="17"/>
      <c r="D42" s="17"/>
      <c r="E42" s="17"/>
      <c r="F42" s="17"/>
      <c r="G42" s="162"/>
      <c r="H42" s="162"/>
      <c r="I42" s="160"/>
      <c r="J42" s="163"/>
      <c r="K42" s="15"/>
      <c r="L42" s="160"/>
    </row>
    <row r="43" spans="1:13" s="19" customFormat="1" x14ac:dyDescent="0.25">
      <c r="A43" s="249"/>
      <c r="B43" s="14"/>
      <c r="C43" s="14"/>
      <c r="D43" s="14"/>
      <c r="E43" s="14"/>
      <c r="F43" s="14"/>
      <c r="G43" s="156"/>
      <c r="H43" s="156"/>
      <c r="I43" s="158"/>
      <c r="J43" s="164"/>
      <c r="K43" s="15"/>
      <c r="L43" s="158"/>
    </row>
    <row r="44" spans="1:13" s="19" customFormat="1" x14ac:dyDescent="0.25">
      <c r="A44" s="131"/>
      <c r="B44" s="15"/>
      <c r="C44" s="158"/>
      <c r="F44" s="161"/>
      <c r="G44" s="161"/>
      <c r="H44" s="161"/>
      <c r="I44" s="158"/>
      <c r="J44" s="158"/>
      <c r="K44" s="15"/>
      <c r="L44" s="158"/>
    </row>
    <row r="45" spans="1:13" s="19" customFormat="1" x14ac:dyDescent="0.25">
      <c r="A45" s="131"/>
      <c r="B45" s="15"/>
      <c r="C45" s="158"/>
      <c r="E45" s="165"/>
      <c r="F45" s="165"/>
      <c r="G45" s="165"/>
      <c r="H45" s="165"/>
      <c r="I45" s="158"/>
      <c r="J45" s="158"/>
      <c r="K45" s="15"/>
      <c r="L45" s="158"/>
    </row>
    <row r="46" spans="1:13" s="19" customFormat="1" x14ac:dyDescent="0.25">
      <c r="A46" s="131"/>
      <c r="B46" s="158"/>
      <c r="C46" s="158"/>
      <c r="E46" s="165"/>
      <c r="F46" s="165"/>
      <c r="G46" s="165"/>
      <c r="H46" s="165"/>
      <c r="I46" s="158"/>
      <c r="J46" s="158"/>
      <c r="K46" s="158"/>
      <c r="L46" s="158"/>
    </row>
    <row r="47" spans="1:13" s="19" customFormat="1" x14ac:dyDescent="0.25">
      <c r="A47" s="258"/>
      <c r="B47" s="161"/>
      <c r="C47" s="161"/>
      <c r="E47" s="161"/>
      <c r="F47" s="161"/>
      <c r="G47" s="161"/>
      <c r="H47" s="161"/>
      <c r="I47" s="161"/>
      <c r="J47" s="161"/>
      <c r="K47" s="161"/>
      <c r="L47" s="161"/>
    </row>
    <row r="48" spans="1:13" s="19" customFormat="1" x14ac:dyDescent="0.25">
      <c r="A48" s="258"/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</row>
    <row r="49" spans="1:13" s="19" customFormat="1" x14ac:dyDescent="0.25">
      <c r="A49" s="258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</row>
    <row r="50" spans="1:13" s="19" customFormat="1" x14ac:dyDescent="0.25">
      <c r="A50" s="291"/>
      <c r="B50" s="138"/>
      <c r="C50" s="159"/>
      <c r="D50" s="159"/>
      <c r="E50" s="159"/>
      <c r="F50" s="159"/>
      <c r="G50" s="159"/>
      <c r="H50" s="159"/>
      <c r="I50" s="157"/>
      <c r="J50" s="161"/>
      <c r="K50" s="15"/>
      <c r="L50" s="161"/>
      <c r="M50" s="161"/>
    </row>
    <row r="51" spans="1:13" x14ac:dyDescent="0.25">
      <c r="A51" s="260"/>
      <c r="B51" s="205"/>
      <c r="C51" s="258"/>
      <c r="D51" s="258"/>
      <c r="E51" s="258"/>
      <c r="F51" s="258"/>
      <c r="G51" s="258"/>
      <c r="H51" s="258"/>
      <c r="I51" s="258"/>
      <c r="J51" s="260"/>
      <c r="K51" s="205"/>
      <c r="L51" s="258"/>
      <c r="M51" s="258"/>
    </row>
    <row r="52" spans="1:13" x14ac:dyDescent="0.25">
      <c r="A52" s="261"/>
      <c r="B52" s="205"/>
      <c r="C52" s="258"/>
      <c r="D52" s="258"/>
      <c r="E52" s="258"/>
      <c r="F52" s="258"/>
      <c r="G52" s="258"/>
      <c r="H52" s="258"/>
      <c r="I52" s="258"/>
      <c r="J52" s="261"/>
      <c r="K52" s="205"/>
      <c r="L52" s="258"/>
      <c r="M52" s="258"/>
    </row>
    <row r="53" spans="1:13" x14ac:dyDescent="0.25">
      <c r="A53" s="262"/>
      <c r="B53" s="205"/>
      <c r="C53" s="263"/>
      <c r="D53" s="258"/>
      <c r="E53" s="258"/>
      <c r="F53" s="258"/>
      <c r="G53" s="258"/>
      <c r="H53" s="258"/>
      <c r="I53" s="258"/>
      <c r="J53" s="262"/>
      <c r="K53" s="205"/>
      <c r="L53" s="263"/>
      <c r="M53" s="258"/>
    </row>
    <row r="54" spans="1:13" x14ac:dyDescent="0.25">
      <c r="A54" s="262"/>
      <c r="B54" s="205"/>
      <c r="C54" s="258"/>
      <c r="D54" s="258"/>
      <c r="E54" s="258"/>
      <c r="F54" s="257"/>
      <c r="G54" s="258"/>
      <c r="H54" s="258"/>
      <c r="I54" s="258"/>
      <c r="J54" s="262"/>
      <c r="K54" s="205"/>
      <c r="L54" s="258"/>
      <c r="M54" s="258"/>
    </row>
    <row r="55" spans="1:13" x14ac:dyDescent="0.25">
      <c r="A55" s="258"/>
      <c r="B55" s="258"/>
      <c r="C55" s="258"/>
      <c r="D55" s="258"/>
      <c r="E55" s="258"/>
      <c r="F55" s="258"/>
      <c r="G55" s="258"/>
      <c r="H55" s="258"/>
      <c r="I55" s="258"/>
      <c r="J55" s="258"/>
      <c r="K55" s="258"/>
      <c r="L55" s="258"/>
      <c r="M55" s="258"/>
    </row>
    <row r="56" spans="1:13" x14ac:dyDescent="0.25">
      <c r="A56" s="258"/>
      <c r="B56" s="258"/>
      <c r="C56" s="258"/>
      <c r="D56" s="258"/>
      <c r="E56" s="258"/>
      <c r="F56" s="258"/>
      <c r="G56" s="258"/>
      <c r="H56" s="258"/>
      <c r="I56" s="258"/>
      <c r="J56" s="258"/>
      <c r="K56" s="258"/>
      <c r="L56" s="258"/>
      <c r="M56" s="258"/>
    </row>
    <row r="57" spans="1:13" x14ac:dyDescent="0.25">
      <c r="A57" s="258"/>
      <c r="B57" s="264"/>
      <c r="C57" s="258"/>
      <c r="D57" s="258"/>
      <c r="E57" s="258"/>
      <c r="F57" s="258"/>
      <c r="G57" s="258"/>
      <c r="H57" s="258"/>
      <c r="I57" s="258"/>
      <c r="J57" s="258"/>
      <c r="K57" s="264"/>
      <c r="L57" s="258"/>
      <c r="M57" s="258"/>
    </row>
    <row r="58" spans="1:13" x14ac:dyDescent="0.25">
      <c r="A58" s="265"/>
      <c r="B58" s="264"/>
      <c r="C58" s="258"/>
      <c r="D58" s="258"/>
      <c r="E58" s="258"/>
      <c r="F58" s="258"/>
      <c r="G58" s="258"/>
      <c r="H58" s="258"/>
      <c r="I58" s="258"/>
      <c r="J58" s="265"/>
      <c r="K58" s="266"/>
      <c r="L58" s="265"/>
      <c r="M58" s="265"/>
    </row>
    <row r="59" spans="1:13" x14ac:dyDescent="0.25">
      <c r="A59" s="265"/>
      <c r="B59" s="264"/>
      <c r="C59" s="258"/>
      <c r="D59" s="258"/>
      <c r="E59" s="258"/>
      <c r="F59" s="258"/>
      <c r="G59" s="258"/>
      <c r="H59" s="258"/>
      <c r="I59" s="258"/>
      <c r="J59" s="265"/>
      <c r="K59" s="266"/>
      <c r="L59" s="265"/>
      <c r="M59" s="265"/>
    </row>
    <row r="60" spans="1:13" x14ac:dyDescent="0.25">
      <c r="A60" s="265"/>
      <c r="B60" s="258"/>
      <c r="C60" s="258"/>
      <c r="D60" s="258"/>
      <c r="E60" s="258"/>
      <c r="F60" s="258"/>
      <c r="G60" s="258"/>
      <c r="H60" s="267"/>
      <c r="I60" s="258"/>
      <c r="J60" s="265"/>
      <c r="K60" s="265"/>
      <c r="L60" s="265"/>
      <c r="M60" s="265"/>
    </row>
    <row r="61" spans="1:13" x14ac:dyDescent="0.25">
      <c r="A61" s="265"/>
      <c r="B61" s="258"/>
      <c r="C61" s="267"/>
      <c r="D61" s="268"/>
      <c r="E61" s="258"/>
      <c r="F61" s="258"/>
      <c r="G61" s="258"/>
      <c r="H61" s="267"/>
      <c r="I61" s="258"/>
      <c r="J61" s="265"/>
      <c r="K61" s="265"/>
      <c r="L61" s="269"/>
      <c r="M61" s="270"/>
    </row>
    <row r="62" spans="1:13" x14ac:dyDescent="0.25">
      <c r="A62" s="265"/>
      <c r="B62" s="258"/>
      <c r="C62" s="258"/>
      <c r="D62" s="258"/>
      <c r="E62" s="258"/>
      <c r="F62" s="258"/>
      <c r="G62" s="258"/>
      <c r="H62" s="258"/>
      <c r="I62" s="258"/>
      <c r="J62" s="265"/>
      <c r="K62" s="265"/>
      <c r="L62" s="265"/>
      <c r="M62" s="265"/>
    </row>
    <row r="63" spans="1:13" x14ac:dyDescent="0.25">
      <c r="A63" s="258"/>
      <c r="B63" s="255"/>
      <c r="J63" s="258"/>
      <c r="K63" s="256"/>
    </row>
    <row r="64" spans="1:13" x14ac:dyDescent="0.25">
      <c r="A64" s="258"/>
      <c r="J64" s="258"/>
    </row>
    <row r="65" spans="1:10" x14ac:dyDescent="0.25">
      <c r="A65" s="258"/>
      <c r="J65" s="258"/>
    </row>
    <row r="66" spans="1:10" x14ac:dyDescent="0.25">
      <c r="A66" s="258"/>
      <c r="J66" s="258"/>
    </row>
    <row r="67" spans="1:10" x14ac:dyDescent="0.25">
      <c r="A67" s="271"/>
      <c r="B67" s="272"/>
      <c r="C67" s="272"/>
      <c r="D67" s="272"/>
      <c r="E67" s="272"/>
      <c r="F67" s="272"/>
      <c r="G67" s="272"/>
      <c r="H67" s="272"/>
      <c r="I67" s="272"/>
    </row>
  </sheetData>
  <conditionalFormatting sqref="B31">
    <cfRule type="cellIs" dxfId="2" priority="1" operator="greaterThan">
      <formula>0</formula>
    </cfRule>
  </conditionalFormatting>
  <hyperlinks>
    <hyperlink ref="A1" location="Index!A1" display="Back to Index" xr:uid="{EFD7F7CC-2E68-4410-A32A-94EA66823AFE}"/>
  </hyperlink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9FA62-E162-4B1D-9834-CE321DCB8DC2}">
  <sheetPr codeName="Sheet11"/>
  <dimension ref="A1:L18"/>
  <sheetViews>
    <sheetView showGridLines="0" workbookViewId="0">
      <selection activeCell="B17" sqref="B17"/>
    </sheetView>
  </sheetViews>
  <sheetFormatPr defaultRowHeight="15" x14ac:dyDescent="0.25"/>
  <cols>
    <col min="1" max="1" width="32.42578125" style="68" customWidth="1"/>
    <col min="2" max="2" width="15.28515625" style="68" bestFit="1" customWidth="1"/>
    <col min="3" max="3" width="17.5703125" style="68" bestFit="1" customWidth="1"/>
    <col min="4" max="4" width="13.7109375" style="68" bestFit="1" customWidth="1"/>
    <col min="5" max="7" width="15" style="68" bestFit="1" customWidth="1"/>
    <col min="8" max="8" width="16" style="68" bestFit="1" customWidth="1"/>
    <col min="9" max="12" width="13.7109375" style="68" bestFit="1" customWidth="1"/>
    <col min="13" max="16384" width="9.140625" style="68"/>
  </cols>
  <sheetData>
    <row r="1" spans="1:12" s="169" customFormat="1" x14ac:dyDescent="0.25">
      <c r="A1" s="168" t="s">
        <v>5</v>
      </c>
      <c r="C1" s="170"/>
    </row>
    <row r="2" spans="1:12" s="169" customFormat="1" x14ac:dyDescent="0.25">
      <c r="A2" s="168"/>
      <c r="C2" s="170"/>
    </row>
    <row r="3" spans="1:12" s="118" customFormat="1" x14ac:dyDescent="0.25">
      <c r="A3" s="118" t="s">
        <v>151</v>
      </c>
      <c r="B3" s="180"/>
      <c r="C3" s="43" t="s">
        <v>47</v>
      </c>
      <c r="F3" s="118" t="s">
        <v>6</v>
      </c>
    </row>
    <row r="4" spans="1:12" x14ac:dyDescent="0.25">
      <c r="A4" s="115" t="s">
        <v>55</v>
      </c>
      <c r="B4" s="70">
        <f>1%*'DCF Static'!F15</f>
        <v>2771352.57</v>
      </c>
      <c r="C4" s="43" t="s">
        <v>48</v>
      </c>
    </row>
    <row r="5" spans="1:12" x14ac:dyDescent="0.25">
      <c r="A5" s="116" t="s">
        <v>52</v>
      </c>
      <c r="B5" s="101">
        <f>2%*'DCF Static'!F15</f>
        <v>5542705.1399999997</v>
      </c>
      <c r="C5" s="43" t="s">
        <v>49</v>
      </c>
    </row>
    <row r="6" spans="1:12" x14ac:dyDescent="0.25">
      <c r="A6" s="116" t="s">
        <v>53</v>
      </c>
      <c r="B6" s="101">
        <f>2%*'DCF Static'!G15</f>
        <v>5542705.1399999997</v>
      </c>
      <c r="C6" s="43" t="s">
        <v>50</v>
      </c>
    </row>
    <row r="7" spans="1:12" x14ac:dyDescent="0.25">
      <c r="A7" s="116" t="s">
        <v>54</v>
      </c>
      <c r="B7" s="101">
        <f>2%*'DCF Static'!H15</f>
        <v>5542705.1399999997</v>
      </c>
      <c r="C7" s="43" t="s">
        <v>51</v>
      </c>
    </row>
    <row r="8" spans="1:12" x14ac:dyDescent="0.25">
      <c r="A8" s="116" t="s">
        <v>61</v>
      </c>
      <c r="B8" s="124">
        <f>SUM(B4:B7)</f>
        <v>19399467.989999998</v>
      </c>
      <c r="C8" s="43" t="s">
        <v>62</v>
      </c>
    </row>
    <row r="9" spans="1:12" x14ac:dyDescent="0.25">
      <c r="A9" s="116" t="s">
        <v>22</v>
      </c>
      <c r="B9" s="68">
        <v>7</v>
      </c>
      <c r="C9" s="43" t="s">
        <v>58</v>
      </c>
    </row>
    <row r="10" spans="1:12" x14ac:dyDescent="0.25">
      <c r="A10" s="116" t="s">
        <v>19</v>
      </c>
      <c r="B10" s="101">
        <v>0</v>
      </c>
      <c r="C10" s="43" t="s">
        <v>58</v>
      </c>
    </row>
    <row r="11" spans="1:12" x14ac:dyDescent="0.25">
      <c r="A11" s="116" t="s">
        <v>56</v>
      </c>
      <c r="B11" s="178">
        <v>4</v>
      </c>
      <c r="C11" s="43" t="s">
        <v>58</v>
      </c>
    </row>
    <row r="12" spans="1:12" x14ac:dyDescent="0.25">
      <c r="A12" s="116" t="s">
        <v>21</v>
      </c>
      <c r="B12" s="179">
        <f>SLN(B4,B10,B9)</f>
        <v>395907.50999999995</v>
      </c>
      <c r="C12" s="43" t="s">
        <v>59</v>
      </c>
    </row>
    <row r="13" spans="1:12" x14ac:dyDescent="0.25">
      <c r="A13" s="116" t="s">
        <v>57</v>
      </c>
      <c r="B13" s="124">
        <f>B12*B11</f>
        <v>1583630.0399999998</v>
      </c>
      <c r="C13" s="43" t="s">
        <v>60</v>
      </c>
    </row>
    <row r="14" spans="1:12" x14ac:dyDescent="0.25">
      <c r="A14" s="117" t="s">
        <v>20</v>
      </c>
      <c r="B14" s="83">
        <v>0.4</v>
      </c>
      <c r="C14" s="44" t="s">
        <v>58</v>
      </c>
    </row>
    <row r="15" spans="1:12" x14ac:dyDescent="0.25">
      <c r="C15" s="6"/>
    </row>
    <row r="16" spans="1:12" x14ac:dyDescent="0.25">
      <c r="A16" s="91" t="s">
        <v>7</v>
      </c>
      <c r="B16" s="112">
        <v>44926</v>
      </c>
      <c r="C16" s="113">
        <v>45291</v>
      </c>
      <c r="D16" s="113">
        <f t="shared" ref="D16:K16" si="0">EDATE(C16,12)</f>
        <v>45657</v>
      </c>
      <c r="E16" s="113">
        <f t="shared" si="0"/>
        <v>46022</v>
      </c>
      <c r="F16" s="113">
        <f t="shared" si="0"/>
        <v>46387</v>
      </c>
      <c r="G16" s="113">
        <f t="shared" si="0"/>
        <v>46752</v>
      </c>
      <c r="H16" s="119">
        <f t="shared" si="0"/>
        <v>47118</v>
      </c>
      <c r="I16" s="120">
        <f t="shared" si="0"/>
        <v>47483</v>
      </c>
      <c r="J16" s="120">
        <f t="shared" si="0"/>
        <v>47848</v>
      </c>
      <c r="K16" s="120">
        <f t="shared" si="0"/>
        <v>48213</v>
      </c>
      <c r="L16" s="90"/>
    </row>
    <row r="17" spans="1:12" x14ac:dyDescent="0.25">
      <c r="A17" s="42" t="s">
        <v>17</v>
      </c>
      <c r="B17" s="27">
        <v>0</v>
      </c>
      <c r="C17" s="27">
        <v>0</v>
      </c>
      <c r="D17" s="27">
        <v>0</v>
      </c>
      <c r="E17" s="27">
        <f>-B4</f>
        <v>-2771352.57</v>
      </c>
      <c r="F17" s="27">
        <v>0</v>
      </c>
      <c r="G17" s="27">
        <v>0</v>
      </c>
      <c r="H17" s="26">
        <f>B13</f>
        <v>1583630.0399999998</v>
      </c>
      <c r="I17" s="7">
        <v>0</v>
      </c>
      <c r="J17" s="7">
        <v>0</v>
      </c>
      <c r="K17" s="7">
        <v>0</v>
      </c>
      <c r="L17" s="98"/>
    </row>
    <row r="18" spans="1:12" x14ac:dyDescent="0.25">
      <c r="A18" s="40" t="s">
        <v>18</v>
      </c>
      <c r="B18" s="27">
        <v>0</v>
      </c>
      <c r="C18" s="27">
        <v>0</v>
      </c>
      <c r="D18" s="27">
        <v>0</v>
      </c>
      <c r="E18" s="41">
        <v>0</v>
      </c>
      <c r="F18" s="41">
        <f>-$B$12</f>
        <v>-395907.50999999995</v>
      </c>
      <c r="G18" s="41">
        <f>-$B$12</f>
        <v>-395907.50999999995</v>
      </c>
      <c r="H18" s="41">
        <f>-$B$12</f>
        <v>-395907.50999999995</v>
      </c>
      <c r="I18" s="7">
        <f>SLN($E$17,$B$10,$B$9)</f>
        <v>-395907.50999999995</v>
      </c>
      <c r="J18" s="7">
        <f>SLN($E$17,$B$10,$B$9)</f>
        <v>-395907.50999999995</v>
      </c>
      <c r="K18" s="7">
        <f>SLN($E$17,$B$10,$B$9)</f>
        <v>-395907.50999999995</v>
      </c>
      <c r="L18" s="98"/>
    </row>
  </sheetData>
  <hyperlinks>
    <hyperlink ref="A1" location="Index!A1" display="Back to Index" xr:uid="{DFC8ACFE-E47E-48D0-9EAB-FC79B3490AAC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4851C-5DD6-4D4A-9323-DAFFF9DC4AEB}">
  <sheetPr codeName="Sheet12"/>
  <dimension ref="A1:AM22"/>
  <sheetViews>
    <sheetView showGridLines="0" zoomScale="85" zoomScaleNormal="85" workbookViewId="0">
      <selection activeCell="B16" sqref="B16"/>
    </sheetView>
  </sheetViews>
  <sheetFormatPr defaultRowHeight="15" x14ac:dyDescent="0.25"/>
  <cols>
    <col min="1" max="1" width="30.85546875" style="68" bestFit="1" customWidth="1"/>
    <col min="2" max="2" width="19" style="68" bestFit="1" customWidth="1"/>
    <col min="3" max="3" width="28.28515625" style="68" bestFit="1" customWidth="1"/>
    <col min="4" max="7" width="16.28515625" style="68" bestFit="1" customWidth="1"/>
    <col min="8" max="8" width="17" style="68" bestFit="1" customWidth="1"/>
    <col min="9" max="19" width="15.85546875" style="68" bestFit="1" customWidth="1"/>
    <col min="20" max="33" width="17.42578125" style="68" bestFit="1" customWidth="1"/>
    <col min="34" max="34" width="10.85546875" style="68" bestFit="1" customWidth="1"/>
    <col min="35" max="37" width="14.28515625" style="68" bestFit="1" customWidth="1"/>
    <col min="38" max="38" width="9.140625" style="68"/>
    <col min="39" max="39" width="14.28515625" style="68" bestFit="1" customWidth="1"/>
    <col min="40" max="16384" width="9.140625" style="68"/>
  </cols>
  <sheetData>
    <row r="1" spans="1:39" s="169" customFormat="1" x14ac:dyDescent="0.25">
      <c r="A1" s="168" t="s">
        <v>5</v>
      </c>
    </row>
    <row r="2" spans="1:39" s="169" customFormat="1" x14ac:dyDescent="0.25">
      <c r="A2" s="168"/>
    </row>
    <row r="3" spans="1:39" x14ac:dyDescent="0.25">
      <c r="A3" s="103" t="s">
        <v>35</v>
      </c>
      <c r="B3" s="104"/>
      <c r="C3" s="21" t="s">
        <v>47</v>
      </c>
      <c r="D3" s="81"/>
    </row>
    <row r="4" spans="1:39" x14ac:dyDescent="0.25">
      <c r="A4" s="92" t="s">
        <v>25</v>
      </c>
      <c r="B4" s="93">
        <v>4.8750000000000002E-2</v>
      </c>
      <c r="C4" s="22" t="s">
        <v>58</v>
      </c>
      <c r="D4" s="94"/>
    </row>
    <row r="5" spans="1:39" x14ac:dyDescent="0.25">
      <c r="A5" s="92" t="s">
        <v>26</v>
      </c>
      <c r="B5" s="86">
        <v>30</v>
      </c>
      <c r="C5" s="22" t="s">
        <v>58</v>
      </c>
      <c r="D5" s="94"/>
    </row>
    <row r="6" spans="1:39" x14ac:dyDescent="0.25">
      <c r="A6" s="105" t="s">
        <v>27</v>
      </c>
      <c r="B6" s="106">
        <f>-XNPV('DCF Static'!B13,'DCF Static'!C25:E25,'DCF Static'!C14:E14)</f>
        <v>207420984.34923774</v>
      </c>
      <c r="C6" s="23" t="s">
        <v>66</v>
      </c>
      <c r="D6" s="94"/>
    </row>
    <row r="7" spans="1:39" x14ac:dyDescent="0.25">
      <c r="A7" s="105" t="s">
        <v>31</v>
      </c>
      <c r="B7" s="106">
        <f>110%*B6</f>
        <v>228163082.78416154</v>
      </c>
      <c r="C7" s="23" t="s">
        <v>131</v>
      </c>
      <c r="D7" s="94"/>
    </row>
    <row r="8" spans="1:39" x14ac:dyDescent="0.25">
      <c r="A8" s="105" t="s">
        <v>64</v>
      </c>
      <c r="B8" s="107">
        <f>-PMT(B4,B5,B6)</f>
        <v>13301382.976791086</v>
      </c>
      <c r="C8" s="24" t="s">
        <v>69</v>
      </c>
      <c r="D8" s="94"/>
    </row>
    <row r="9" spans="1:39" x14ac:dyDescent="0.25">
      <c r="A9" s="105" t="s">
        <v>20</v>
      </c>
      <c r="B9" s="108">
        <v>0.4</v>
      </c>
      <c r="C9" s="25" t="s">
        <v>67</v>
      </c>
      <c r="D9" s="95"/>
    </row>
    <row r="10" spans="1:39" x14ac:dyDescent="0.25">
      <c r="C10" s="5"/>
    </row>
    <row r="11" spans="1:39" x14ac:dyDescent="0.25">
      <c r="C11" s="5"/>
    </row>
    <row r="12" spans="1:39" x14ac:dyDescent="0.25">
      <c r="C12" s="5"/>
    </row>
    <row r="13" spans="1:39" ht="15.75" thickBot="1" x14ac:dyDescent="0.3">
      <c r="A13" s="109" t="s">
        <v>36</v>
      </c>
      <c r="B13" s="109"/>
      <c r="C13" s="109"/>
      <c r="D13" s="109"/>
      <c r="E13" s="109" t="s">
        <v>6</v>
      </c>
      <c r="F13" s="109"/>
      <c r="G13" s="109"/>
      <c r="H13" s="109"/>
      <c r="I13" s="110"/>
    </row>
    <row r="14" spans="1:39" ht="15.75" thickTop="1" x14ac:dyDescent="0.25">
      <c r="A14" s="110"/>
      <c r="B14" s="96"/>
      <c r="C14" s="96"/>
      <c r="D14" s="96"/>
      <c r="E14" s="96"/>
      <c r="F14" s="96"/>
      <c r="G14" s="96"/>
    </row>
    <row r="15" spans="1:39" x14ac:dyDescent="0.25">
      <c r="A15" s="111" t="s">
        <v>7</v>
      </c>
      <c r="B15" s="112">
        <v>44926</v>
      </c>
      <c r="C15" s="113">
        <v>45291</v>
      </c>
      <c r="D15" s="113">
        <f>EDATE(C15,12)</f>
        <v>45657</v>
      </c>
      <c r="E15" s="113">
        <f>EDATE(D15,12)</f>
        <v>46022</v>
      </c>
      <c r="F15" s="113">
        <f>EDATE(E15,12)</f>
        <v>46387</v>
      </c>
      <c r="G15" s="113">
        <f>EDATE(F15,12)</f>
        <v>46752</v>
      </c>
      <c r="H15" s="113">
        <f>EDATE(G15,12)</f>
        <v>47118</v>
      </c>
      <c r="I15" s="114">
        <f t="shared" ref="I15:U15" si="0">EDATE(H15,12)</f>
        <v>47483</v>
      </c>
      <c r="J15" s="114">
        <f>EDATE(I15,12)</f>
        <v>47848</v>
      </c>
      <c r="K15" s="114">
        <f t="shared" si="0"/>
        <v>48213</v>
      </c>
      <c r="L15" s="114">
        <f t="shared" si="0"/>
        <v>48579</v>
      </c>
      <c r="M15" s="114">
        <f t="shared" si="0"/>
        <v>48944</v>
      </c>
      <c r="N15" s="114">
        <f t="shared" si="0"/>
        <v>49309</v>
      </c>
      <c r="O15" s="114">
        <f t="shared" si="0"/>
        <v>49674</v>
      </c>
      <c r="P15" s="114">
        <f t="shared" si="0"/>
        <v>50040</v>
      </c>
      <c r="Q15" s="114">
        <f t="shared" si="0"/>
        <v>50405</v>
      </c>
      <c r="R15" s="114">
        <f t="shared" si="0"/>
        <v>50770</v>
      </c>
      <c r="S15" s="114">
        <f t="shared" si="0"/>
        <v>51135</v>
      </c>
      <c r="T15" s="114">
        <f t="shared" si="0"/>
        <v>51501</v>
      </c>
      <c r="U15" s="114">
        <f t="shared" si="0"/>
        <v>51866</v>
      </c>
      <c r="V15" s="114">
        <f>EDATE(U15,12)</f>
        <v>52231</v>
      </c>
      <c r="W15" s="114">
        <f>EDATE(V15,12)</f>
        <v>52596</v>
      </c>
      <c r="X15" s="114">
        <f>EDATE(W15,12)</f>
        <v>52962</v>
      </c>
      <c r="Y15" s="114">
        <f t="shared" ref="Y15:AF15" si="1">EDATE(X15,12)</f>
        <v>53327</v>
      </c>
      <c r="Z15" s="114">
        <f t="shared" si="1"/>
        <v>53692</v>
      </c>
      <c r="AA15" s="114">
        <f t="shared" si="1"/>
        <v>54057</v>
      </c>
      <c r="AB15" s="114">
        <f t="shared" si="1"/>
        <v>54423</v>
      </c>
      <c r="AC15" s="114">
        <f t="shared" si="1"/>
        <v>54788</v>
      </c>
      <c r="AD15" s="114">
        <f t="shared" si="1"/>
        <v>55153</v>
      </c>
      <c r="AE15" s="114">
        <f t="shared" si="1"/>
        <v>55518</v>
      </c>
      <c r="AF15" s="114">
        <f t="shared" si="1"/>
        <v>55884</v>
      </c>
      <c r="AG15" s="114">
        <f>EDATE(AF15,12)</f>
        <v>56249</v>
      </c>
      <c r="AH15" s="114">
        <f>EDATE(AG15,12)</f>
        <v>56614</v>
      </c>
      <c r="AI15" s="273"/>
      <c r="AJ15" s="273"/>
      <c r="AK15" s="273"/>
      <c r="AL15" s="273"/>
      <c r="AM15" s="273"/>
    </row>
    <row r="16" spans="1:39" x14ac:dyDescent="0.25">
      <c r="A16" s="97" t="s">
        <v>28</v>
      </c>
      <c r="B16" s="98"/>
      <c r="C16" s="98">
        <f>B6</f>
        <v>207420984.34923774</v>
      </c>
      <c r="D16" s="98">
        <f>C20</f>
        <v>207420984.34923774</v>
      </c>
      <c r="E16" s="98">
        <f>D20</f>
        <v>207420984.34923774</v>
      </c>
      <c r="F16" s="98">
        <f>E20</f>
        <v>207420984.34923774</v>
      </c>
      <c r="G16" s="98">
        <f>F20</f>
        <v>207420984.34923774</v>
      </c>
      <c r="H16" s="98">
        <f>G20</f>
        <v>207420984.34923774</v>
      </c>
      <c r="I16" s="99">
        <f t="shared" ref="I16:AF16" si="2">H20</f>
        <v>-20742098.434923798</v>
      </c>
      <c r="J16" s="99">
        <f>I20</f>
        <v>-20742098.434923798</v>
      </c>
      <c r="K16" s="99">
        <f t="shared" si="2"/>
        <v>-20742098.434923798</v>
      </c>
      <c r="L16" s="99">
        <f t="shared" si="2"/>
        <v>-20742098.434923798</v>
      </c>
      <c r="M16" s="99">
        <f t="shared" si="2"/>
        <v>-20742098.434923798</v>
      </c>
      <c r="N16" s="99">
        <f t="shared" si="2"/>
        <v>-20742098.434923798</v>
      </c>
      <c r="O16" s="99">
        <f t="shared" si="2"/>
        <v>-20742098.434923798</v>
      </c>
      <c r="P16" s="99">
        <f t="shared" si="2"/>
        <v>-20742098.434923798</v>
      </c>
      <c r="Q16" s="99">
        <f t="shared" si="2"/>
        <v>-20742098.434923798</v>
      </c>
      <c r="R16" s="99">
        <f t="shared" si="2"/>
        <v>-20742098.434923798</v>
      </c>
      <c r="S16" s="99">
        <f t="shared" si="2"/>
        <v>-20742098.434923798</v>
      </c>
      <c r="T16" s="99">
        <f t="shared" si="2"/>
        <v>-20742098.434923798</v>
      </c>
      <c r="U16" s="99">
        <f t="shared" si="2"/>
        <v>-20742098.434923798</v>
      </c>
      <c r="V16" s="99">
        <f t="shared" si="2"/>
        <v>-20742098.434923798</v>
      </c>
      <c r="W16" s="99">
        <f t="shared" si="2"/>
        <v>-20742098.434923798</v>
      </c>
      <c r="X16" s="99">
        <f t="shared" si="2"/>
        <v>-20742098.434923798</v>
      </c>
      <c r="Y16" s="99">
        <f t="shared" si="2"/>
        <v>-20742098.434923798</v>
      </c>
      <c r="Z16" s="99">
        <f t="shared" si="2"/>
        <v>-20742098.434923798</v>
      </c>
      <c r="AA16" s="99">
        <f t="shared" si="2"/>
        <v>-20742098.434923798</v>
      </c>
      <c r="AB16" s="99">
        <f t="shared" si="2"/>
        <v>-20742098.434923798</v>
      </c>
      <c r="AC16" s="99">
        <f t="shared" si="2"/>
        <v>-20742098.434923798</v>
      </c>
      <c r="AD16" s="99">
        <f t="shared" si="2"/>
        <v>-20742098.434923798</v>
      </c>
      <c r="AE16" s="99">
        <f t="shared" si="2"/>
        <v>-20742098.434923798</v>
      </c>
      <c r="AF16" s="99">
        <f t="shared" si="2"/>
        <v>-20742098.434923798</v>
      </c>
      <c r="AG16" s="99">
        <f>AF20</f>
        <v>-20742098.434923798</v>
      </c>
      <c r="AH16" s="99"/>
      <c r="AI16" s="178"/>
      <c r="AJ16" s="178"/>
      <c r="AK16" s="178"/>
      <c r="AL16" s="178"/>
      <c r="AM16" s="178"/>
    </row>
    <row r="17" spans="1:39" x14ac:dyDescent="0.25">
      <c r="A17" s="97" t="s">
        <v>29</v>
      </c>
      <c r="B17" s="98"/>
      <c r="C17" s="98"/>
      <c r="D17" s="98">
        <f>D16*$B$4</f>
        <v>10111772.987025341</v>
      </c>
      <c r="E17" s="98">
        <f>E16*$B$4</f>
        <v>10111772.987025341</v>
      </c>
      <c r="F17" s="98">
        <f>F16*$B$4</f>
        <v>10111772.987025341</v>
      </c>
      <c r="G17" s="98">
        <f>G16*$B$4</f>
        <v>10111772.987025341</v>
      </c>
      <c r="H17" s="98">
        <f>H16*$B$4</f>
        <v>10111772.987025341</v>
      </c>
      <c r="I17" s="99">
        <f t="shared" ref="I17:AG17" si="3">I16*$B$4</f>
        <v>-1011177.2987025352</v>
      </c>
      <c r="J17" s="99">
        <f t="shared" si="3"/>
        <v>-1011177.2987025352</v>
      </c>
      <c r="K17" s="99">
        <f t="shared" si="3"/>
        <v>-1011177.2987025352</v>
      </c>
      <c r="L17" s="99">
        <f t="shared" si="3"/>
        <v>-1011177.2987025352</v>
      </c>
      <c r="M17" s="99">
        <f t="shared" si="3"/>
        <v>-1011177.2987025352</v>
      </c>
      <c r="N17" s="99">
        <f t="shared" si="3"/>
        <v>-1011177.2987025352</v>
      </c>
      <c r="O17" s="99">
        <f t="shared" si="3"/>
        <v>-1011177.2987025352</v>
      </c>
      <c r="P17" s="99">
        <f t="shared" si="3"/>
        <v>-1011177.2987025352</v>
      </c>
      <c r="Q17" s="99">
        <f t="shared" si="3"/>
        <v>-1011177.2987025352</v>
      </c>
      <c r="R17" s="99">
        <f t="shared" si="3"/>
        <v>-1011177.2987025352</v>
      </c>
      <c r="S17" s="99">
        <f t="shared" si="3"/>
        <v>-1011177.2987025352</v>
      </c>
      <c r="T17" s="99">
        <f t="shared" si="3"/>
        <v>-1011177.2987025352</v>
      </c>
      <c r="U17" s="99">
        <f t="shared" si="3"/>
        <v>-1011177.2987025352</v>
      </c>
      <c r="V17" s="99">
        <f t="shared" si="3"/>
        <v>-1011177.2987025352</v>
      </c>
      <c r="W17" s="99">
        <f t="shared" si="3"/>
        <v>-1011177.2987025352</v>
      </c>
      <c r="X17" s="99">
        <f t="shared" si="3"/>
        <v>-1011177.2987025352</v>
      </c>
      <c r="Y17" s="99">
        <f t="shared" si="3"/>
        <v>-1011177.2987025352</v>
      </c>
      <c r="Z17" s="99">
        <f t="shared" si="3"/>
        <v>-1011177.2987025352</v>
      </c>
      <c r="AA17" s="99">
        <f t="shared" si="3"/>
        <v>-1011177.2987025352</v>
      </c>
      <c r="AB17" s="99">
        <f t="shared" si="3"/>
        <v>-1011177.2987025352</v>
      </c>
      <c r="AC17" s="99">
        <f t="shared" si="3"/>
        <v>-1011177.2987025352</v>
      </c>
      <c r="AD17" s="99">
        <f t="shared" si="3"/>
        <v>-1011177.2987025352</v>
      </c>
      <c r="AE17" s="99">
        <f t="shared" si="3"/>
        <v>-1011177.2987025352</v>
      </c>
      <c r="AF17" s="99">
        <f t="shared" si="3"/>
        <v>-1011177.2987025352</v>
      </c>
      <c r="AG17" s="99">
        <f t="shared" si="3"/>
        <v>-1011177.2987025352</v>
      </c>
      <c r="AH17" s="99"/>
      <c r="AI17" s="178"/>
      <c r="AJ17" s="178"/>
      <c r="AK17" s="178"/>
      <c r="AL17" s="178"/>
      <c r="AM17" s="178"/>
    </row>
    <row r="18" spans="1:39" x14ac:dyDescent="0.25">
      <c r="A18" s="97" t="s">
        <v>30</v>
      </c>
      <c r="B18" s="98"/>
      <c r="C18" s="98"/>
      <c r="D18" s="98">
        <f>D17*'DCF Static'!$B$9</f>
        <v>4044709.1948101367</v>
      </c>
      <c r="E18" s="98">
        <f>E17*'DCF Static'!$B$9</f>
        <v>4044709.1948101367</v>
      </c>
      <c r="F18" s="98">
        <f>F17*'DCF Static'!$B$9</f>
        <v>4044709.1948101367</v>
      </c>
      <c r="G18" s="98">
        <f>G17*'DCF Static'!$B$9</f>
        <v>4044709.1948101367</v>
      </c>
      <c r="H18" s="98">
        <f>H17*'DCF Static'!$B$9</f>
        <v>4044709.1948101367</v>
      </c>
      <c r="I18" s="186">
        <f>I17*'DCF Static'!$B$9</f>
        <v>-404470.91948101413</v>
      </c>
      <c r="J18" s="186">
        <f>J17*'DCF Static'!$B$9</f>
        <v>-404470.91948101413</v>
      </c>
      <c r="K18" s="186">
        <f>K17*'DCF Static'!$B$9</f>
        <v>-404470.91948101413</v>
      </c>
      <c r="L18" s="186">
        <f>L17*'DCF Static'!$B$9</f>
        <v>-404470.91948101413</v>
      </c>
      <c r="M18" s="186">
        <f>M17*'DCF Static'!$B$9</f>
        <v>-404470.91948101413</v>
      </c>
      <c r="N18" s="186">
        <f>N17*'DCF Static'!$B$9</f>
        <v>-404470.91948101413</v>
      </c>
      <c r="O18" s="186">
        <f>O17*'DCF Static'!$B$9</f>
        <v>-404470.91948101413</v>
      </c>
      <c r="P18" s="186">
        <f>P17*'DCF Static'!$B$9</f>
        <v>-404470.91948101413</v>
      </c>
      <c r="Q18" s="186">
        <f>Q17*'DCF Static'!$B$9</f>
        <v>-404470.91948101413</v>
      </c>
      <c r="R18" s="186">
        <f>R17*'DCF Static'!$B$9</f>
        <v>-404470.91948101413</v>
      </c>
      <c r="S18" s="186">
        <f>S17*'DCF Static'!$B$9</f>
        <v>-404470.91948101413</v>
      </c>
      <c r="T18" s="186">
        <f>T17*'DCF Static'!$B$9</f>
        <v>-404470.91948101413</v>
      </c>
      <c r="U18" s="186">
        <f>U17*'DCF Static'!$B$9</f>
        <v>-404470.91948101413</v>
      </c>
      <c r="V18" s="186">
        <f>V17*'DCF Static'!$B$9</f>
        <v>-404470.91948101413</v>
      </c>
      <c r="W18" s="186">
        <f>W17*'DCF Static'!$B$9</f>
        <v>-404470.91948101413</v>
      </c>
      <c r="X18" s="186">
        <f>X17*'DCF Static'!$B$9</f>
        <v>-404470.91948101413</v>
      </c>
      <c r="Y18" s="186">
        <f>Y17*'DCF Static'!$B$9</f>
        <v>-404470.91948101413</v>
      </c>
      <c r="Z18" s="186">
        <f>Z17*'DCF Static'!$B$9</f>
        <v>-404470.91948101413</v>
      </c>
      <c r="AA18" s="186">
        <f>AA17*'DCF Static'!$B$9</f>
        <v>-404470.91948101413</v>
      </c>
      <c r="AB18" s="186">
        <f>AB17*'DCF Static'!$B$9</f>
        <v>-404470.91948101413</v>
      </c>
      <c r="AC18" s="186">
        <f>AC17*'DCF Static'!$B$9</f>
        <v>-404470.91948101413</v>
      </c>
      <c r="AD18" s="186">
        <f>AD17*'DCF Static'!$B$9</f>
        <v>-404470.91948101413</v>
      </c>
      <c r="AE18" s="186">
        <f>AE17*'DCF Static'!$B$9</f>
        <v>-404470.91948101413</v>
      </c>
      <c r="AF18" s="186">
        <f>AF17*'DCF Static'!$B$9</f>
        <v>-404470.91948101413</v>
      </c>
      <c r="AG18" s="186">
        <f>AG17*'DCF Static'!$B$9</f>
        <v>-404470.91948101413</v>
      </c>
      <c r="AH18" s="99"/>
      <c r="AI18" s="178"/>
      <c r="AJ18" s="178"/>
      <c r="AK18" s="178"/>
      <c r="AL18" s="178"/>
      <c r="AM18" s="178"/>
    </row>
    <row r="19" spans="1:39" x14ac:dyDescent="0.25">
      <c r="A19" s="97" t="s">
        <v>94</v>
      </c>
      <c r="B19" s="98"/>
      <c r="C19" s="100"/>
      <c r="D19" s="100"/>
      <c r="E19" s="98"/>
      <c r="F19" s="98"/>
      <c r="G19" s="98"/>
      <c r="H19" s="98">
        <f>B7</f>
        <v>228163082.78416154</v>
      </c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178"/>
      <c r="AJ19" s="178"/>
      <c r="AK19" s="178"/>
      <c r="AL19" s="178"/>
      <c r="AM19" s="178"/>
    </row>
    <row r="20" spans="1:39" x14ac:dyDescent="0.25">
      <c r="A20" s="97" t="s">
        <v>65</v>
      </c>
      <c r="B20" s="71"/>
      <c r="C20" s="71">
        <f t="shared" ref="C20:AG20" si="4">C16-C19</f>
        <v>207420984.34923774</v>
      </c>
      <c r="D20" s="71">
        <f t="shared" si="4"/>
        <v>207420984.34923774</v>
      </c>
      <c r="E20" s="71">
        <f t="shared" si="4"/>
        <v>207420984.34923774</v>
      </c>
      <c r="F20" s="71">
        <f t="shared" si="4"/>
        <v>207420984.34923774</v>
      </c>
      <c r="G20" s="71">
        <f t="shared" si="4"/>
        <v>207420984.34923774</v>
      </c>
      <c r="H20" s="71">
        <f t="shared" si="4"/>
        <v>-20742098.434923798</v>
      </c>
      <c r="I20" s="99">
        <f>I16-I19</f>
        <v>-20742098.434923798</v>
      </c>
      <c r="J20" s="99">
        <f t="shared" si="4"/>
        <v>-20742098.434923798</v>
      </c>
      <c r="K20" s="99">
        <f t="shared" si="4"/>
        <v>-20742098.434923798</v>
      </c>
      <c r="L20" s="99">
        <f t="shared" si="4"/>
        <v>-20742098.434923798</v>
      </c>
      <c r="M20" s="99">
        <f t="shared" si="4"/>
        <v>-20742098.434923798</v>
      </c>
      <c r="N20" s="99">
        <f t="shared" si="4"/>
        <v>-20742098.434923798</v>
      </c>
      <c r="O20" s="99">
        <f t="shared" si="4"/>
        <v>-20742098.434923798</v>
      </c>
      <c r="P20" s="99">
        <f t="shared" si="4"/>
        <v>-20742098.434923798</v>
      </c>
      <c r="Q20" s="99">
        <f t="shared" si="4"/>
        <v>-20742098.434923798</v>
      </c>
      <c r="R20" s="99">
        <f t="shared" si="4"/>
        <v>-20742098.434923798</v>
      </c>
      <c r="S20" s="99">
        <f t="shared" si="4"/>
        <v>-20742098.434923798</v>
      </c>
      <c r="T20" s="99">
        <f t="shared" si="4"/>
        <v>-20742098.434923798</v>
      </c>
      <c r="U20" s="99">
        <f t="shared" si="4"/>
        <v>-20742098.434923798</v>
      </c>
      <c r="V20" s="99">
        <f t="shared" si="4"/>
        <v>-20742098.434923798</v>
      </c>
      <c r="W20" s="99">
        <f t="shared" si="4"/>
        <v>-20742098.434923798</v>
      </c>
      <c r="X20" s="99">
        <f t="shared" si="4"/>
        <v>-20742098.434923798</v>
      </c>
      <c r="Y20" s="99">
        <f t="shared" si="4"/>
        <v>-20742098.434923798</v>
      </c>
      <c r="Z20" s="99">
        <f t="shared" si="4"/>
        <v>-20742098.434923798</v>
      </c>
      <c r="AA20" s="99">
        <f t="shared" si="4"/>
        <v>-20742098.434923798</v>
      </c>
      <c r="AB20" s="99">
        <f t="shared" si="4"/>
        <v>-20742098.434923798</v>
      </c>
      <c r="AC20" s="99">
        <f t="shared" si="4"/>
        <v>-20742098.434923798</v>
      </c>
      <c r="AD20" s="99">
        <f t="shared" si="4"/>
        <v>-20742098.434923798</v>
      </c>
      <c r="AE20" s="99">
        <f t="shared" si="4"/>
        <v>-20742098.434923798</v>
      </c>
      <c r="AF20" s="99">
        <f t="shared" si="4"/>
        <v>-20742098.434923798</v>
      </c>
      <c r="AG20" s="99">
        <f t="shared" si="4"/>
        <v>-20742098.434923798</v>
      </c>
      <c r="AH20" s="99"/>
      <c r="AI20" s="178"/>
      <c r="AJ20" s="178"/>
      <c r="AK20" s="178"/>
      <c r="AL20" s="178"/>
      <c r="AM20" s="178"/>
    </row>
    <row r="21" spans="1:39" x14ac:dyDescent="0.25">
      <c r="A21" s="8" t="s">
        <v>32</v>
      </c>
      <c r="B21" s="9">
        <f>B20</f>
        <v>0</v>
      </c>
      <c r="C21" s="9">
        <f>C20</f>
        <v>207420984.34923774</v>
      </c>
      <c r="D21" s="9">
        <f>-D17+D18-D19</f>
        <v>-6067063.7922152039</v>
      </c>
      <c r="E21" s="9">
        <f>-E17+E18-E19</f>
        <v>-6067063.7922152039</v>
      </c>
      <c r="F21" s="9">
        <f>-F17+F18-F19</f>
        <v>-6067063.7922152039</v>
      </c>
      <c r="G21" s="9">
        <f>-G17+G18-G19</f>
        <v>-6067063.7922152039</v>
      </c>
      <c r="H21" s="9">
        <f>-H17+H18-H19</f>
        <v>-234230146.57637674</v>
      </c>
      <c r="I21" s="45">
        <f t="shared" ref="I21:AH21" si="5">-I17+I18-I19</f>
        <v>606706.37922152109</v>
      </c>
      <c r="J21" s="45">
        <f t="shared" si="5"/>
        <v>606706.37922152109</v>
      </c>
      <c r="K21" s="45">
        <f t="shared" si="5"/>
        <v>606706.37922152109</v>
      </c>
      <c r="L21" s="45">
        <f t="shared" si="5"/>
        <v>606706.37922152109</v>
      </c>
      <c r="M21" s="45">
        <f t="shared" si="5"/>
        <v>606706.37922152109</v>
      </c>
      <c r="N21" s="45">
        <f t="shared" si="5"/>
        <v>606706.37922152109</v>
      </c>
      <c r="O21" s="45">
        <f t="shared" si="5"/>
        <v>606706.37922152109</v>
      </c>
      <c r="P21" s="45">
        <f t="shared" si="5"/>
        <v>606706.37922152109</v>
      </c>
      <c r="Q21" s="45">
        <f t="shared" si="5"/>
        <v>606706.37922152109</v>
      </c>
      <c r="R21" s="45">
        <f t="shared" si="5"/>
        <v>606706.37922152109</v>
      </c>
      <c r="S21" s="45">
        <f t="shared" si="5"/>
        <v>606706.37922152109</v>
      </c>
      <c r="T21" s="45">
        <f t="shared" si="5"/>
        <v>606706.37922152109</v>
      </c>
      <c r="U21" s="45">
        <f t="shared" si="5"/>
        <v>606706.37922152109</v>
      </c>
      <c r="V21" s="45">
        <f t="shared" si="5"/>
        <v>606706.37922152109</v>
      </c>
      <c r="W21" s="45">
        <f t="shared" si="5"/>
        <v>606706.37922152109</v>
      </c>
      <c r="X21" s="45">
        <f t="shared" si="5"/>
        <v>606706.37922152109</v>
      </c>
      <c r="Y21" s="45">
        <f t="shared" si="5"/>
        <v>606706.37922152109</v>
      </c>
      <c r="Z21" s="45">
        <f t="shared" si="5"/>
        <v>606706.37922152109</v>
      </c>
      <c r="AA21" s="45">
        <f t="shared" si="5"/>
        <v>606706.37922152109</v>
      </c>
      <c r="AB21" s="45">
        <f t="shared" si="5"/>
        <v>606706.37922152109</v>
      </c>
      <c r="AC21" s="45">
        <f t="shared" si="5"/>
        <v>606706.37922152109</v>
      </c>
      <c r="AD21" s="45">
        <f t="shared" si="5"/>
        <v>606706.37922152109</v>
      </c>
      <c r="AE21" s="45">
        <f t="shared" si="5"/>
        <v>606706.37922152109</v>
      </c>
      <c r="AF21" s="45">
        <f t="shared" si="5"/>
        <v>606706.37922152109</v>
      </c>
      <c r="AG21" s="45">
        <f t="shared" si="5"/>
        <v>606706.37922152109</v>
      </c>
      <c r="AH21" s="45">
        <f t="shared" si="5"/>
        <v>0</v>
      </c>
    </row>
    <row r="22" spans="1:39" x14ac:dyDescent="0.25">
      <c r="A22" s="8" t="s">
        <v>33</v>
      </c>
      <c r="B22" s="10">
        <f>XNPV(B4,B21:H21,B15:H15)</f>
        <v>1214824.252255559</v>
      </c>
      <c r="C22" s="11" t="s">
        <v>68</v>
      </c>
      <c r="D22" s="101"/>
      <c r="E22" s="101"/>
      <c r="F22" s="101"/>
      <c r="G22" s="101"/>
      <c r="H22" s="101"/>
    </row>
  </sheetData>
  <conditionalFormatting sqref="B22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A1" location="Index!A1" display="Back to Index" xr:uid="{C468A88A-260F-411D-A8B3-D66E4974C73B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9850B61440D742B91DDF059547036C" ma:contentTypeVersion="4" ma:contentTypeDescription="Create a new document." ma:contentTypeScope="" ma:versionID="13e8755601f68cd409fbe9ec2cc5a881">
  <xsd:schema xmlns:xsd="http://www.w3.org/2001/XMLSchema" xmlns:xs="http://www.w3.org/2001/XMLSchema" xmlns:p="http://schemas.microsoft.com/office/2006/metadata/properties" xmlns:ns3="bb6c015b-0b85-4993-9481-2c8bf00e80f3" targetNamespace="http://schemas.microsoft.com/office/2006/metadata/properties" ma:root="true" ma:fieldsID="a249b04a74651b8cfebaec16c894b810" ns3:_="">
    <xsd:import namespace="bb6c015b-0b85-4993-9481-2c8bf00e80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6c015b-0b85-4993-9481-2c8bf00e80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F3577F-37BC-4496-AAE1-0DA0139D65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6c015b-0b85-4993-9481-2c8bf00e80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CB78CA-3672-449C-AEFA-29DD9D2E80A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14115D-524A-4D80-B26D-C8F6F6487B20}">
  <ds:schemaRefs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bb6c015b-0b85-4993-9481-2c8bf00e80f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Index</vt:lpstr>
      <vt:lpstr>Dashboard</vt:lpstr>
      <vt:lpstr>DCF</vt:lpstr>
      <vt:lpstr>CapEx &amp; Depreciation</vt:lpstr>
      <vt:lpstr>Financing</vt:lpstr>
      <vt:lpstr>Simulation</vt:lpstr>
      <vt:lpstr>Sensitivity Analysis</vt:lpstr>
      <vt:lpstr>Data</vt:lpstr>
      <vt:lpstr>DCF Static</vt:lpstr>
      <vt:lpstr>DCF Static Europe &amp; Central Asi</vt:lpstr>
      <vt:lpstr>DCF Static South Asia</vt:lpstr>
      <vt:lpstr>CapEx &amp; Depreciation Static</vt:lpstr>
      <vt:lpstr>Financing Static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Hwangbo</dc:creator>
  <cp:lastModifiedBy>Timothy Hwangbo</cp:lastModifiedBy>
  <dcterms:created xsi:type="dcterms:W3CDTF">2022-11-22T00:05:36Z</dcterms:created>
  <dcterms:modified xsi:type="dcterms:W3CDTF">2025-06-13T19:04:21Z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0x0101007B9850B61440D742B91DDF059547036C</vt:lpwstr>
  </property>
</Properties>
</file>