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ank\Desktop\Rotman\"/>
    </mc:Choice>
  </mc:AlternateContent>
  <xr:revisionPtr revIDLastSave="0" documentId="13_ncr:1_{0F67C312-FFE4-4A7A-AEB7-45C66708151E}" xr6:coauthVersionLast="44" xr6:coauthVersionMax="44" xr10:uidLastSave="{00000000-0000-0000-0000-000000000000}"/>
  <bookViews>
    <workbookView xWindow="-108" yWindow="-108" windowWidth="23256" windowHeight="12576" activeTab="2" xr2:uid="{BA22898C-7F54-400C-95F7-C29450180530}"/>
  </bookViews>
  <sheets>
    <sheet name="Database" sheetId="4" r:id="rId1"/>
    <sheet name="Producer" sheetId="1" r:id="rId2"/>
    <sheet name="Distributor" sheetId="2" r:id="rId3"/>
    <sheet name="Trad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0" i="2" l="1"/>
  <c r="E10" i="2"/>
  <c r="G10" i="2" s="1"/>
  <c r="D10" i="2"/>
  <c r="F10" i="2" s="1"/>
  <c r="B5" i="2"/>
  <c r="M7" i="2"/>
  <c r="B2" i="2"/>
  <c r="B4" i="2"/>
  <c r="B1" i="2"/>
  <c r="B9" i="3"/>
  <c r="B3" i="2" l="1"/>
  <c r="M2" i="2" s="1"/>
  <c r="A10" i="2"/>
  <c r="E4" i="2"/>
  <c r="E3" i="2"/>
  <c r="A18" i="1"/>
  <c r="E10" i="1"/>
  <c r="G10" i="1" s="1"/>
  <c r="D10" i="1"/>
  <c r="F10" i="1" s="1"/>
  <c r="F8" i="4"/>
  <c r="G8" i="4"/>
  <c r="M7" i="1"/>
  <c r="H8" i="4"/>
  <c r="C8" i="4"/>
  <c r="B14" i="4"/>
  <c r="D8" i="4"/>
  <c r="B8" i="4"/>
  <c r="E8" i="4"/>
  <c r="C3" i="2" l="1"/>
  <c r="I8" i="4"/>
  <c r="B3" i="4"/>
  <c r="C7" i="4"/>
  <c r="B5" i="4"/>
  <c r="H5" i="4"/>
  <c r="F3" i="4"/>
  <c r="B4" i="4"/>
  <c r="D9" i="4"/>
  <c r="C4" i="4"/>
  <c r="F6" i="4"/>
  <c r="C6" i="4"/>
  <c r="B1" i="1"/>
  <c r="B2" i="3"/>
  <c r="H3" i="4"/>
  <c r="E3" i="4"/>
  <c r="H9" i="4"/>
  <c r="D4" i="4"/>
  <c r="B4" i="1"/>
  <c r="G9" i="4"/>
  <c r="B7" i="4"/>
  <c r="C9" i="4"/>
  <c r="D5" i="4"/>
  <c r="F4" i="4"/>
  <c r="G6" i="4"/>
  <c r="G4" i="4"/>
  <c r="D3" i="4"/>
  <c r="H6" i="4"/>
  <c r="G7" i="4"/>
  <c r="B2" i="1"/>
  <c r="B1" i="3"/>
  <c r="D7" i="4"/>
  <c r="B5" i="3"/>
  <c r="B6" i="4"/>
  <c r="H4" i="4"/>
  <c r="B4" i="3"/>
  <c r="E6" i="4"/>
  <c r="E7" i="4"/>
  <c r="B9" i="4"/>
  <c r="D6" i="4"/>
  <c r="G5" i="4"/>
  <c r="E4" i="4"/>
  <c r="H7" i="4"/>
  <c r="E5" i="4"/>
  <c r="F9" i="4"/>
  <c r="C5" i="4"/>
  <c r="B5" i="1"/>
  <c r="C3" i="4"/>
  <c r="E9" i="4"/>
  <c r="G3" i="4"/>
  <c r="F7" i="4"/>
  <c r="F5" i="4"/>
  <c r="F5" i="2" l="1"/>
  <c r="J4" i="2"/>
  <c r="J2" i="2"/>
  <c r="I2" i="2"/>
  <c r="F4" i="2"/>
  <c r="H4" i="2"/>
  <c r="G5" i="2"/>
  <c r="J3" i="2"/>
  <c r="I3" i="2"/>
  <c r="G4" i="2"/>
  <c r="F2" i="2"/>
  <c r="H3" i="2"/>
  <c r="I4" i="2"/>
  <c r="G3" i="2"/>
  <c r="G2" i="2"/>
  <c r="I5" i="2"/>
  <c r="H5" i="2"/>
  <c r="H2" i="2"/>
  <c r="F3" i="2"/>
  <c r="H24" i="2" s="1"/>
  <c r="J5" i="2"/>
  <c r="I5" i="1"/>
  <c r="F5" i="1"/>
  <c r="I10" i="1" s="1"/>
  <c r="I11" i="1" s="1"/>
  <c r="B3" i="1"/>
  <c r="A10" i="1"/>
  <c r="E4" i="1"/>
  <c r="E3" i="1"/>
  <c r="F3" i="1" s="1"/>
  <c r="G5" i="1"/>
  <c r="J5" i="1"/>
  <c r="H5" i="1"/>
  <c r="F2" i="1"/>
  <c r="I2" i="1"/>
  <c r="J2" i="1"/>
  <c r="H2" i="1"/>
  <c r="G2" i="1"/>
  <c r="I6" i="4"/>
  <c r="I7" i="4"/>
  <c r="I5" i="4"/>
  <c r="I4" i="4"/>
  <c r="B3" i="3"/>
  <c r="H17" i="1" l="1"/>
  <c r="H21" i="1"/>
  <c r="H17" i="2"/>
  <c r="J10" i="2"/>
  <c r="H12" i="2" s="1"/>
  <c r="H25" i="1"/>
  <c r="I10" i="2"/>
  <c r="H10" i="2"/>
  <c r="J3" i="1"/>
  <c r="J10" i="1"/>
  <c r="H10" i="1"/>
  <c r="H11" i="1" s="1"/>
  <c r="C3" i="1"/>
  <c r="M2" i="1"/>
  <c r="F4" i="1"/>
  <c r="H4" i="1"/>
  <c r="J4" i="1"/>
  <c r="I4" i="1"/>
  <c r="G4" i="1"/>
  <c r="G3" i="1"/>
  <c r="H3" i="1"/>
  <c r="I3" i="1"/>
  <c r="H13" i="1" l="1"/>
</calcChain>
</file>

<file path=xl/sharedStrings.xml><?xml version="1.0" encoding="utf-8"?>
<sst xmlns="http://schemas.openxmlformats.org/spreadsheetml/2006/main" count="102" uniqueCount="47">
  <si>
    <t>Trader-ID</t>
  </si>
  <si>
    <t>PL</t>
  </si>
  <si>
    <t>Time Remaining</t>
  </si>
  <si>
    <t>Current Period</t>
  </si>
  <si>
    <t>Ticker</t>
  </si>
  <si>
    <t>Last</t>
  </si>
  <si>
    <t>Position</t>
  </si>
  <si>
    <t>Bid</t>
  </si>
  <si>
    <t>Ask</t>
  </si>
  <si>
    <t>MKTBUY</t>
  </si>
  <si>
    <t>MKTSELL</t>
  </si>
  <si>
    <t>Settle price</t>
  </si>
  <si>
    <t>Cost</t>
  </si>
  <si>
    <t>Inventory</t>
  </si>
  <si>
    <t>Current Time</t>
  </si>
  <si>
    <t>NG</t>
  </si>
  <si>
    <t>ELEC-F</t>
  </si>
  <si>
    <t>ELEC-Day2</t>
  </si>
  <si>
    <t>ELEC-Day3</t>
  </si>
  <si>
    <t>ELEC-Day4</t>
  </si>
  <si>
    <t>ELEC-Day5</t>
  </si>
  <si>
    <t>ELEC-Day6</t>
  </si>
  <si>
    <t>Sunlight Forecast</t>
  </si>
  <si>
    <t>Day</t>
  </si>
  <si>
    <t>LB</t>
  </si>
  <si>
    <t>UB</t>
  </si>
  <si>
    <t>Sunlight</t>
  </si>
  <si>
    <t>Electricity</t>
  </si>
  <si>
    <t>Forwards to Short</t>
  </si>
  <si>
    <t>Price</t>
  </si>
  <si>
    <t>Producer News</t>
  </si>
  <si>
    <t>Update Sunlight Forecast</t>
  </si>
  <si>
    <t>Update expected prices</t>
  </si>
  <si>
    <t>Update Spot Price</t>
  </si>
  <si>
    <t>Residual on current Position</t>
  </si>
  <si>
    <t>NG Equivalents</t>
  </si>
  <si>
    <t>Forwards to Trade</t>
  </si>
  <si>
    <t>NG Arbitrage</t>
  </si>
  <si>
    <t>NG / ELEC-F Arbitrage</t>
  </si>
  <si>
    <t>Unwind Excess</t>
  </si>
  <si>
    <t>Demand Forecast</t>
  </si>
  <si>
    <t>Average Temperature</t>
  </si>
  <si>
    <t>Forwards to Long</t>
  </si>
  <si>
    <t>Distributor News</t>
  </si>
  <si>
    <t>Update Temperature Forecast</t>
  </si>
  <si>
    <t>Price Bulliten</t>
  </si>
  <si>
    <t>ELEC-F Arbitrage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</si>
</sst>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164" fontId="0" fillId="0" borderId="0" xfId="1" applyNumberFormat="1" applyFont="1"/>
    <xf numFmtId="2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Currency" xfId="1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it2.rtd">
      <tp>
        <v>0</v>
        <stp/>
        <stp>ELEC-Day2</stp>
        <stp>MKTSELL</stp>
        <stp>20</stp>
        <tr r="H4" s="4"/>
      </tp>
      <tp>
        <v>0</v>
        <stp/>
        <stp>ELEC-Day3</stp>
        <stp>MKTSELL</stp>
        <stp>20</stp>
        <tr r="H5" s="4"/>
      </tp>
      <tp>
        <v>0</v>
        <stp/>
        <stp>ELEC-Day4</stp>
        <stp>MKTSELL</stp>
        <stp>20</stp>
        <tr r="H6" s="4"/>
      </tp>
      <tp>
        <v>19.52</v>
        <stp/>
        <stp>ELEC-Day5</stp>
        <stp>MKTSELL</stp>
        <stp>20</stp>
        <tr r="H7" s="4"/>
      </tp>
      <tp>
        <v>0</v>
        <stp/>
        <stp>ELEC-Day6</stp>
        <stp>MKTSELL</stp>
        <stp>20</stp>
        <tr r="H8" s="4"/>
      </tp>
      <tp>
        <v>20</v>
        <stp/>
        <stp>ELEC-F</stp>
        <stp>MKTBUY</stp>
        <stp>20</stp>
        <tr r="G9" s="4"/>
      </tp>
      <tp>
        <v>0</v>
        <stp/>
        <stp>ELEC-F</stp>
        <stp>Cost</stp>
        <tr r="C9" s="4"/>
      </tp>
      <tp>
        <v>0</v>
        <stp/>
        <stp>ELEC-Day6</stp>
        <stp>MKTBUY</stp>
        <stp>20</stp>
        <tr r="G8" s="4"/>
      </tp>
      <tp>
        <v>10</v>
        <stp/>
        <stp>ELEC-F</stp>
        <stp>Last</stp>
        <tr r="D9" s="4"/>
      </tp>
      <tp>
        <v>0</v>
        <stp/>
        <stp>ELEC-Day4</stp>
        <stp>MKTBUY</stp>
        <stp>20</stp>
        <tr r="G6" s="4"/>
      </tp>
      <tp>
        <v>2.4700000000000002</v>
        <stp/>
        <stp>NG</stp>
        <stp>MKTSELL</stp>
        <stp>20</stp>
        <tr r="H3" s="4"/>
      </tp>
      <tp>
        <v>19.53</v>
        <stp/>
        <stp>ELEC-Day5</stp>
        <stp>MKTBUY</stp>
        <stp>20</stp>
        <tr r="G7" s="4"/>
      </tp>
      <tp>
        <v>0</v>
        <stp/>
        <stp>ELEC-Day2</stp>
        <stp>MKTBUY</stp>
        <stp>20</stp>
        <tr r="G4" s="4"/>
      </tp>
      <tp>
        <v>0</v>
        <stp/>
        <stp>ELEC-Day3</stp>
        <stp>MKTBUY</stp>
        <stp>20</stp>
        <tr r="G5" s="4"/>
      </tp>
      <tp>
        <v>180</v>
        <stp/>
        <stp>TIMEREMAINING</stp>
        <tr r="B4" s="3"/>
        <tr r="B4" s="1"/>
        <tr r="B4" s="2"/>
      </tp>
      <tp>
        <v>-2378564</v>
        <stp/>
        <stp>PL</stp>
        <tr r="B2" s="1"/>
        <tr r="B2" s="3"/>
        <tr r="B2" s="2"/>
      </tp>
      <tp>
        <v>0</v>
        <stp/>
        <stp>ELEC-F</stp>
        <stp>Bid</stp>
        <tr r="E9" s="4"/>
      </tp>
      <tp>
        <v>20</v>
        <stp/>
        <stp>ELEC-F</stp>
        <stp>Ask</stp>
        <tr r="F9" s="4"/>
      </tp>
      <tp>
        <v>0</v>
        <stp/>
        <stp>NG</stp>
        <stp>Cost</stp>
        <tr r="C3" s="4"/>
      </tp>
      <tp>
        <v>0</v>
        <stp/>
        <stp>ELEC-Day4</stp>
        <stp>Position</stp>
        <tr r="B6" s="4"/>
      </tp>
      <tp>
        <v>173</v>
        <stp/>
        <stp>ELEC-Day5</stp>
        <stp>Position</stp>
        <tr r="B7" s="4"/>
      </tp>
      <tp>
        <v>0</v>
        <stp/>
        <stp>ELEC-Day6</stp>
        <stp>Position</stp>
        <tr r="B8" s="4"/>
      </tp>
      <tp>
        <v>0</v>
        <stp/>
        <stp>ELEC-Day2</stp>
        <stp>Position</stp>
        <tr r="B4" s="4"/>
      </tp>
      <tp>
        <v>0</v>
        <stp/>
        <stp>ELEC-Day3</stp>
        <stp>Position</stp>
        <tr r="B5" s="4"/>
      </tp>
      <tp>
        <v>2.4900000000000002</v>
        <stp/>
        <stp>NG</stp>
        <stp>Last</stp>
        <tr r="D3" s="4"/>
      </tp>
      <tp t="s">
        <v>4,180,,SPOT PRICE AND VOLUMES FOR DAY 5,The Regulatory Authority for Electricity board decided that on day 5 the following prices and volumes will be enforced:&lt;br&gt;&lt;br&gt;283 contracts are available for market participants to buy at a price of $19.53&lt;br&gt;&lt;br&gt;283 contracts are available for market participants to sell at a price of $19.52</v>
        <stp/>
        <stp>LAtestNEWS</stp>
        <stp>1</stp>
        <tr r="B14" s="4"/>
        <tr r="M7" s="1"/>
        <tr r="B9" s="3"/>
        <tr r="M7" s="2"/>
      </tp>
      <tp>
        <v>0</v>
        <stp/>
        <stp>ELEC-Day3</stp>
        <stp>Ask</stp>
        <tr r="F5" s="4"/>
      </tp>
      <tp>
        <v>0</v>
        <stp/>
        <stp>ELEC-Day2</stp>
        <stp>Ask</stp>
        <tr r="F4" s="4"/>
      </tp>
      <tp>
        <v>0</v>
        <stp/>
        <stp>ELEC-Day6</stp>
        <stp>Ask</stp>
        <tr r="F8" s="4"/>
      </tp>
      <tp>
        <v>19.53</v>
        <stp/>
        <stp>ELEC-Day5</stp>
        <stp>Ask</stp>
        <tr r="F7" s="4"/>
      </tp>
      <tp>
        <v>0</v>
        <stp/>
        <stp>ELEC-Day4</stp>
        <stp>Ask</stp>
        <tr r="F6" s="4"/>
      </tp>
      <tp>
        <v>0</v>
        <stp/>
        <stp>ELEC-Day4</stp>
        <stp>Bid</stp>
        <tr r="E6" s="4"/>
      </tp>
      <tp>
        <v>19.52</v>
        <stp/>
        <stp>ELEC-Day5</stp>
        <stp>Bid</stp>
        <tr r="E7" s="4"/>
      </tp>
      <tp>
        <v>0</v>
        <stp/>
        <stp>ELEC-Day6</stp>
        <stp>Bid</stp>
        <tr r="E8" s="4"/>
      </tp>
      <tp>
        <v>0</v>
        <stp/>
        <stp>ELEC-Day2</stp>
        <stp>Bid</stp>
        <tr r="E4" s="4"/>
      </tp>
      <tp>
        <v>0</v>
        <stp/>
        <stp>ELEC-Day3</stp>
        <stp>Bid</stp>
        <tr r="E5" s="4"/>
      </tp>
      <tp>
        <v>0</v>
        <stp/>
        <stp>ELEC-Day3</stp>
        <stp>Cost</stp>
        <tr r="C5" s="4"/>
      </tp>
      <tp>
        <v>0</v>
        <stp/>
        <stp>ELEC-Day2</stp>
        <stp>Cost</stp>
        <tr r="C4" s="4"/>
      </tp>
      <tp>
        <v>0</v>
        <stp/>
        <stp>ELEC-Day6</stp>
        <stp>Cost</stp>
        <tr r="C8" s="4"/>
      </tp>
      <tp>
        <v>0</v>
        <stp/>
        <stp>ELEC-Day5</stp>
        <stp>Cost</stp>
        <tr r="C7" s="4"/>
      </tp>
      <tp>
        <v>0</v>
        <stp/>
        <stp>ELEC-Day4</stp>
        <stp>Cost</stp>
        <tr r="C6" s="4"/>
      </tp>
      <tp>
        <v>0</v>
        <stp/>
        <stp>NG</stp>
        <stp>Position</stp>
        <tr r="B3" s="4"/>
      </tp>
      <tp>
        <v>0</v>
        <stp/>
        <stp>ELEC-Day3</stp>
        <stp>Last</stp>
        <tr r="D5" s="4"/>
      </tp>
      <tp>
        <v>0</v>
        <stp/>
        <stp>ELEC-Day2</stp>
        <stp>Last</stp>
        <tr r="D4" s="4"/>
      </tp>
      <tp>
        <v>0</v>
        <stp/>
        <stp>ELEC-Day6</stp>
        <stp>Last</stp>
        <tr r="D8" s="4"/>
      </tp>
      <tp>
        <v>0</v>
        <stp/>
        <stp>ELEC-Day5</stp>
        <stp>Last</stp>
        <tr r="D7" s="4"/>
      </tp>
      <tp>
        <v>19.52</v>
        <stp/>
        <stp>ELEC-Day4</stp>
        <stp>Last</stp>
        <tr r="D6" s="4"/>
      </tp>
      <tp>
        <v>2.5099999999999998</v>
        <stp/>
        <stp>NG</stp>
        <stp>MKTBUY</stp>
        <stp>20</stp>
        <tr r="G3" s="4"/>
      </tp>
      <tp>
        <v>0</v>
        <stp/>
        <stp>ELEC-F</stp>
        <stp>MKTSELL</stp>
        <stp>20</stp>
        <tr r="H9" s="4"/>
      </tp>
      <tp>
        <v>5</v>
        <stp/>
        <stp>PERIOD</stp>
        <tr r="B5" s="1"/>
        <tr r="B5" s="3"/>
        <tr r="B5" s="2"/>
      </tp>
      <tp>
        <v>2.5099999999999998</v>
        <stp/>
        <stp>NG</stp>
        <stp>Ask</stp>
        <tr r="F3" s="4"/>
      </tp>
      <tp>
        <v>2.4700000000000002</v>
        <stp/>
        <stp>NG</stp>
        <stp>Bid</stp>
        <tr r="E3" s="4"/>
      </tp>
      <tp t="s">
        <v>UCBE-D</v>
        <stp/>
        <stp>TRADERID</stp>
        <tr r="B1" s="3"/>
        <tr r="B1" s="1"/>
        <tr r="B1" s="2"/>
      </tp>
      <tp>
        <v>0</v>
        <stp/>
        <stp>ELEC-F</stp>
        <stp>Position</stp>
        <tr r="B9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F2A8F-7F4D-46FE-AE44-3F5CA14C1A40}">
  <dimension ref="A1:R24"/>
  <sheetViews>
    <sheetView workbookViewId="0">
      <selection activeCell="Q6" sqref="Q6"/>
    </sheetView>
  </sheetViews>
  <sheetFormatPr defaultRowHeight="14.4" x14ac:dyDescent="0.3"/>
  <cols>
    <col min="1" max="1" width="9.77734375" bestFit="1" customWidth="1"/>
    <col min="14" max="14" width="13.44140625" bestFit="1" customWidth="1"/>
    <col min="15" max="15" width="21.5546875" bestFit="1" customWidth="1"/>
    <col min="17" max="17" width="14.77734375" bestFit="1" customWidth="1"/>
    <col min="18" max="18" width="25.88671875" bestFit="1" customWidth="1"/>
  </cols>
  <sheetData>
    <row r="1" spans="1:18" x14ac:dyDescent="0.3">
      <c r="G1" s="1">
        <v>20</v>
      </c>
      <c r="H1" s="1">
        <v>20</v>
      </c>
      <c r="N1" t="s">
        <v>30</v>
      </c>
      <c r="Q1" t="s">
        <v>43</v>
      </c>
    </row>
    <row r="2" spans="1:18" x14ac:dyDescent="0.3">
      <c r="A2" t="s">
        <v>4</v>
      </c>
      <c r="B2" t="s">
        <v>6</v>
      </c>
      <c r="C2" t="s">
        <v>12</v>
      </c>
      <c r="D2" t="s">
        <v>5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N2">
        <v>-1</v>
      </c>
      <c r="O2" t="s">
        <v>31</v>
      </c>
      <c r="Q2">
        <v>-1</v>
      </c>
      <c r="R2" t="s">
        <v>44</v>
      </c>
    </row>
    <row r="3" spans="1:18" x14ac:dyDescent="0.3">
      <c r="A3" t="s">
        <v>15</v>
      </c>
      <c r="B3">
        <f>RTD("rit2.rtd",,$A3,B$2)</f>
        <v>0</v>
      </c>
      <c r="C3">
        <f>RTD("rit2.rtd",,$A3,C$2)</f>
        <v>0</v>
      </c>
      <c r="D3">
        <f>RTD("rit2.rtd",,$A3,D$2)</f>
        <v>2.4900000000000002</v>
      </c>
      <c r="E3">
        <f>RTD("rit2.rtd",,$A3,E$2)</f>
        <v>2.4700000000000002</v>
      </c>
      <c r="F3">
        <f>RTD("rit2.rtd",,$A3,F$2)</f>
        <v>2.5099999999999998</v>
      </c>
      <c r="G3">
        <f>RTD("rit2.rtd",,$A3,G$2,$G$1)</f>
        <v>2.5099999999999998</v>
      </c>
      <c r="H3">
        <f>RTD("rit2.rtd",,$A3,H$2,$H$1)</f>
        <v>2.4700000000000002</v>
      </c>
      <c r="I3" s="1">
        <v>30</v>
      </c>
      <c r="N3">
        <v>89</v>
      </c>
      <c r="O3" t="s">
        <v>31</v>
      </c>
      <c r="Q3">
        <v>85</v>
      </c>
      <c r="R3" t="s">
        <v>44</v>
      </c>
    </row>
    <row r="4" spans="1:18" x14ac:dyDescent="0.3">
      <c r="A4" t="s">
        <v>17</v>
      </c>
      <c r="B4">
        <f>RTD("rit2.rtd",,$A4,B$2)</f>
        <v>0</v>
      </c>
      <c r="C4">
        <f>RTD("rit2.rtd",,$A4,C$2)</f>
        <v>0</v>
      </c>
      <c r="D4">
        <f>RTD("rit2.rtd",,$A4,D$2)</f>
        <v>0</v>
      </c>
      <c r="E4">
        <f>RTD("rit2.rtd",,$A4,E$2)</f>
        <v>0</v>
      </c>
      <c r="F4">
        <f>RTD("rit2.rtd",,$A4,F$2)</f>
        <v>0</v>
      </c>
      <c r="G4">
        <f>RTD("rit2.rtd",,$A4,G$2,$G$1)</f>
        <v>0</v>
      </c>
      <c r="H4">
        <f>RTD("rit2.rtd",,$A4,H$2,$H$1)</f>
        <v>0</v>
      </c>
      <c r="I4">
        <f>D4</f>
        <v>0</v>
      </c>
      <c r="N4">
        <v>140</v>
      </c>
      <c r="O4" t="s">
        <v>31</v>
      </c>
      <c r="Q4">
        <v>145</v>
      </c>
      <c r="R4" t="s">
        <v>44</v>
      </c>
    </row>
    <row r="5" spans="1:18" x14ac:dyDescent="0.3">
      <c r="A5" t="s">
        <v>18</v>
      </c>
      <c r="B5">
        <f>RTD("rit2.rtd",,$A5,B$2)</f>
        <v>0</v>
      </c>
      <c r="C5">
        <f>RTD("rit2.rtd",,$A5,C$2)</f>
        <v>0</v>
      </c>
      <c r="D5">
        <f>RTD("rit2.rtd",,$A5,D$2)</f>
        <v>0</v>
      </c>
      <c r="E5">
        <f>RTD("rit2.rtd",,$A5,E$2)</f>
        <v>0</v>
      </c>
      <c r="F5">
        <f>RTD("rit2.rtd",,$A5,F$2)</f>
        <v>0</v>
      </c>
      <c r="G5">
        <f>RTD("rit2.rtd",,$A5,G$2,$G$1)</f>
        <v>0</v>
      </c>
      <c r="H5">
        <f>RTD("rit2.rtd",,$A5,H$2,$H$1)</f>
        <v>0</v>
      </c>
      <c r="I5">
        <f>D5</f>
        <v>0</v>
      </c>
      <c r="N5">
        <v>152</v>
      </c>
      <c r="O5" t="s">
        <v>32</v>
      </c>
      <c r="Q5">
        <v>155</v>
      </c>
      <c r="R5" t="s">
        <v>45</v>
      </c>
    </row>
    <row r="6" spans="1:18" x14ac:dyDescent="0.3">
      <c r="A6" t="s">
        <v>19</v>
      </c>
      <c r="B6">
        <f>RTD("rit2.rtd",,$A6,B$2)</f>
        <v>0</v>
      </c>
      <c r="C6">
        <f>RTD("rit2.rtd",,$A6,C$2)</f>
        <v>0</v>
      </c>
      <c r="D6">
        <f>RTD("rit2.rtd",,$A6,D$2)</f>
        <v>19.52</v>
      </c>
      <c r="E6">
        <f>RTD("rit2.rtd",,$A6,E$2)</f>
        <v>0</v>
      </c>
      <c r="F6">
        <f>RTD("rit2.rtd",,$A6,F$2)</f>
        <v>0</v>
      </c>
      <c r="G6">
        <f>RTD("rit2.rtd",,$A6,G$2,$G$1)</f>
        <v>0</v>
      </c>
      <c r="H6">
        <f>RTD("rit2.rtd",,$A6,H$2,$H$1)</f>
        <v>0</v>
      </c>
      <c r="I6">
        <f>D6</f>
        <v>19.52</v>
      </c>
      <c r="N6">
        <v>175</v>
      </c>
      <c r="O6" t="s">
        <v>33</v>
      </c>
    </row>
    <row r="7" spans="1:18" x14ac:dyDescent="0.3">
      <c r="A7" t="s">
        <v>20</v>
      </c>
      <c r="B7">
        <f>RTD("rit2.rtd",,$A7,B$2)</f>
        <v>173</v>
      </c>
      <c r="C7">
        <f>RTD("rit2.rtd",,$A7,C$2)</f>
        <v>0</v>
      </c>
      <c r="D7">
        <f>RTD("rit2.rtd",,$A7,D$2)</f>
        <v>0</v>
      </c>
      <c r="E7">
        <f>RTD("rit2.rtd",,$A7,E$2)</f>
        <v>19.52</v>
      </c>
      <c r="F7">
        <f>RTD("rit2.rtd",,$A7,F$2)</f>
        <v>19.53</v>
      </c>
      <c r="G7">
        <f>RTD("rit2.rtd",,$A7,G$2,$G$1)</f>
        <v>19.53</v>
      </c>
      <c r="H7">
        <f>RTD("rit2.rtd",,$A7,H$2,$H$1)</f>
        <v>19.52</v>
      </c>
      <c r="I7">
        <f>D7</f>
        <v>0</v>
      </c>
    </row>
    <row r="8" spans="1:18" x14ac:dyDescent="0.3">
      <c r="A8" t="s">
        <v>21</v>
      </c>
      <c r="B8">
        <f>RTD("rit2.rtd",,$A8,B$2)</f>
        <v>0</v>
      </c>
      <c r="C8">
        <f>RTD("rit2.rtd",,$A8,C$2)</f>
        <v>0</v>
      </c>
      <c r="D8">
        <f>RTD("rit2.rtd",,$A8,D$2)</f>
        <v>0</v>
      </c>
      <c r="E8">
        <f>RTD("rit2.rtd",,$A8,E$2)</f>
        <v>0</v>
      </c>
      <c r="F8">
        <f>RTD("rit2.rtd",,$A8,F$2)</f>
        <v>0</v>
      </c>
      <c r="G8">
        <f>RTD("rit2.rtd",,$A8,G$2,$G$1)</f>
        <v>0</v>
      </c>
      <c r="H8">
        <f>RTD("rit2.rtd",,$A8,H$2,$H$1)</f>
        <v>0</v>
      </c>
      <c r="I8">
        <f>D8</f>
        <v>0</v>
      </c>
    </row>
    <row r="9" spans="1:18" x14ac:dyDescent="0.3">
      <c r="A9" t="s">
        <v>16</v>
      </c>
      <c r="B9">
        <f>RTD("rit2.rtd",,$A9,B$2)</f>
        <v>0</v>
      </c>
      <c r="C9">
        <f>RTD("rit2.rtd",,$A9,C$2)</f>
        <v>0</v>
      </c>
      <c r="D9">
        <f>RTD("rit2.rtd",,$A9,D$2)</f>
        <v>10</v>
      </c>
      <c r="E9">
        <f>RTD("rit2.rtd",,$A9,E$2)</f>
        <v>0</v>
      </c>
      <c r="F9">
        <f>RTD("rit2.rtd",,$A9,F$2)</f>
        <v>20</v>
      </c>
      <c r="G9">
        <f>RTD("rit2.rtd",,$A9,G$2,$G$1)</f>
        <v>20</v>
      </c>
      <c r="H9">
        <f>RTD("rit2.rtd",,$A9,H$2,$H$1)</f>
        <v>0</v>
      </c>
      <c r="I9" s="1">
        <v>50</v>
      </c>
    </row>
    <row r="13" spans="1:18" ht="15" thickBot="1" x14ac:dyDescent="0.35"/>
    <row r="14" spans="1:18" ht="14.4" customHeight="1" x14ac:dyDescent="0.3">
      <c r="B14" s="9" t="str">
        <f>RTD("rit2.rtd",,"LAtestNEWS",1)</f>
        <v>4,180,,SPOT PRICE AND VOLUMES FOR DAY 5,The Regulatory Authority for Electricity board decided that on day 5 the following prices and volumes will be enforced:&lt;br&gt;&lt;br&gt;283 contracts are available for market participants to buy at a price of $19.53&lt;br&gt;&lt;br&gt;283 contracts are available for market participants to sell at a price of $19.52</v>
      </c>
      <c r="C14" s="10"/>
      <c r="D14" s="10"/>
      <c r="E14" s="10"/>
      <c r="F14" s="10"/>
      <c r="G14" s="10"/>
      <c r="H14" s="10"/>
      <c r="I14" s="11"/>
    </row>
    <row r="15" spans="1:18" x14ac:dyDescent="0.3">
      <c r="B15" s="12"/>
      <c r="C15" s="13"/>
      <c r="D15" s="13"/>
      <c r="E15" s="13"/>
      <c r="F15" s="13"/>
      <c r="G15" s="13"/>
      <c r="H15" s="13"/>
      <c r="I15" s="14"/>
    </row>
    <row r="16" spans="1:18" x14ac:dyDescent="0.3">
      <c r="B16" s="12"/>
      <c r="C16" s="13"/>
      <c r="D16" s="13"/>
      <c r="E16" s="13"/>
      <c r="F16" s="13"/>
      <c r="G16" s="13"/>
      <c r="H16" s="13"/>
      <c r="I16" s="14"/>
    </row>
    <row r="17" spans="2:9" x14ac:dyDescent="0.3">
      <c r="B17" s="12"/>
      <c r="C17" s="13"/>
      <c r="D17" s="13"/>
      <c r="E17" s="13"/>
      <c r="F17" s="13"/>
      <c r="G17" s="13"/>
      <c r="H17" s="13"/>
      <c r="I17" s="14"/>
    </row>
    <row r="18" spans="2:9" x14ac:dyDescent="0.3">
      <c r="B18" s="12"/>
      <c r="C18" s="13"/>
      <c r="D18" s="13"/>
      <c r="E18" s="13"/>
      <c r="F18" s="13"/>
      <c r="G18" s="13"/>
      <c r="H18" s="13"/>
      <c r="I18" s="14"/>
    </row>
    <row r="19" spans="2:9" x14ac:dyDescent="0.3">
      <c r="B19" s="12"/>
      <c r="C19" s="13"/>
      <c r="D19" s="13"/>
      <c r="E19" s="13"/>
      <c r="F19" s="13"/>
      <c r="G19" s="13"/>
      <c r="H19" s="13"/>
      <c r="I19" s="14"/>
    </row>
    <row r="20" spans="2:9" x14ac:dyDescent="0.3">
      <c r="B20" s="12"/>
      <c r="C20" s="13"/>
      <c r="D20" s="13"/>
      <c r="E20" s="13"/>
      <c r="F20" s="13"/>
      <c r="G20" s="13"/>
      <c r="H20" s="13"/>
      <c r="I20" s="14"/>
    </row>
    <row r="21" spans="2:9" x14ac:dyDescent="0.3">
      <c r="B21" s="12"/>
      <c r="C21" s="13"/>
      <c r="D21" s="13"/>
      <c r="E21" s="13"/>
      <c r="F21" s="13"/>
      <c r="G21" s="13"/>
      <c r="H21" s="13"/>
      <c r="I21" s="14"/>
    </row>
    <row r="22" spans="2:9" x14ac:dyDescent="0.3">
      <c r="B22" s="12"/>
      <c r="C22" s="13"/>
      <c r="D22" s="13"/>
      <c r="E22" s="13"/>
      <c r="F22" s="13"/>
      <c r="G22" s="13"/>
      <c r="H22" s="13"/>
      <c r="I22" s="14"/>
    </row>
    <row r="23" spans="2:9" x14ac:dyDescent="0.3">
      <c r="B23" s="12"/>
      <c r="C23" s="13"/>
      <c r="D23" s="13"/>
      <c r="E23" s="13"/>
      <c r="F23" s="13"/>
      <c r="G23" s="13"/>
      <c r="H23" s="13"/>
      <c r="I23" s="14"/>
    </row>
    <row r="24" spans="2:9" ht="15" thickBot="1" x14ac:dyDescent="0.35">
      <c r="B24" s="15"/>
      <c r="C24" s="16"/>
      <c r="D24" s="16"/>
      <c r="E24" s="16"/>
      <c r="F24" s="16"/>
      <c r="G24" s="16"/>
      <c r="H24" s="16"/>
      <c r="I24" s="17"/>
    </row>
  </sheetData>
  <mergeCells count="1">
    <mergeCell ref="B14:I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24A42-131D-46EA-890F-A1BAFFEDED59}">
  <dimension ref="A1:P27"/>
  <sheetViews>
    <sheetView workbookViewId="0">
      <selection activeCell="H17" sqref="H17:J19"/>
    </sheetView>
  </sheetViews>
  <sheetFormatPr defaultRowHeight="14.4" x14ac:dyDescent="0.3"/>
  <cols>
    <col min="1" max="1" width="17.44140625" bestFit="1" customWidth="1"/>
    <col min="2" max="2" width="11.5546875" bestFit="1" customWidth="1"/>
    <col min="3" max="3" width="13.109375" bestFit="1" customWidth="1"/>
    <col min="4" max="4" width="13.6640625" bestFit="1" customWidth="1"/>
    <col min="5" max="5" width="16.6640625" bestFit="1" customWidth="1"/>
    <col min="6" max="6" width="15.109375" bestFit="1" customWidth="1"/>
    <col min="7" max="7" width="13.109375" bestFit="1" customWidth="1"/>
    <col min="8" max="8" width="12.88671875" bestFit="1" customWidth="1"/>
    <col min="9" max="9" width="12.6640625" bestFit="1" customWidth="1"/>
    <col min="10" max="10" width="16" bestFit="1" customWidth="1"/>
  </cols>
  <sheetData>
    <row r="1" spans="1:16" ht="15" thickBot="1" x14ac:dyDescent="0.35">
      <c r="A1" t="s">
        <v>0</v>
      </c>
      <c r="B1" t="str">
        <f>RTD("rit2.rtd",,"TRADERID")</f>
        <v>UCBE-D</v>
      </c>
      <c r="E1" t="s">
        <v>13</v>
      </c>
      <c r="F1" t="s">
        <v>6</v>
      </c>
      <c r="G1" t="s">
        <v>12</v>
      </c>
      <c r="H1" t="s">
        <v>5</v>
      </c>
      <c r="I1" t="s">
        <v>7</v>
      </c>
      <c r="J1" t="s">
        <v>8</v>
      </c>
    </row>
    <row r="2" spans="1:16" x14ac:dyDescent="0.3">
      <c r="A2" t="s">
        <v>1</v>
      </c>
      <c r="B2" s="2">
        <f>RTD("rit2.rtd",,"PL")</f>
        <v>-2378564</v>
      </c>
      <c r="E2" t="s">
        <v>15</v>
      </c>
      <c r="F2">
        <f>VLOOKUP($E2,Database!$A$2:$I$9,MATCH(F$1,Database!$A$2:$I$2,0),0)</f>
        <v>0</v>
      </c>
      <c r="G2">
        <f>VLOOKUP($E2,Database!$A$2:$I$9,MATCH(G$1,Database!$A$2:$I$2,0),0)</f>
        <v>0</v>
      </c>
      <c r="H2">
        <f>VLOOKUP($E2,Database!$A$2:$I$9,MATCH(H$1,Database!$A$2:$I$2,0),0)</f>
        <v>2.4900000000000002</v>
      </c>
      <c r="I2">
        <f>VLOOKUP($E2,Database!$A$2:$I$9,MATCH(I$1,Database!$A$2:$I$2,0),0)</f>
        <v>2.4700000000000002</v>
      </c>
      <c r="J2">
        <f>VLOOKUP($E2,Database!$A$2:$I$9,MATCH(J$1,Database!$A$2:$I$2,0),0)</f>
        <v>2.5099999999999998</v>
      </c>
      <c r="M2" s="28" t="str">
        <f>VLOOKUP(B3,Database!$N$2:$O$6,2,1)</f>
        <v>Update Sunlight Forecast</v>
      </c>
      <c r="N2" s="29"/>
      <c r="O2" s="29"/>
      <c r="P2" s="30"/>
    </row>
    <row r="3" spans="1:16" x14ac:dyDescent="0.3">
      <c r="A3" t="s">
        <v>14</v>
      </c>
      <c r="B3">
        <f>180-B4</f>
        <v>0</v>
      </c>
      <c r="C3">
        <f>180*(B5-1)+B3</f>
        <v>720</v>
      </c>
      <c r="E3" t="str">
        <f>"ELEC-DAY"&amp;B5</f>
        <v>ELEC-DAY5</v>
      </c>
      <c r="F3">
        <f>VLOOKUP($E3,Database!$A$2:$I$9,MATCH(F$1,Database!$A$2:$I$2,0),0)</f>
        <v>173</v>
      </c>
      <c r="G3" s="3">
        <f>VLOOKUP($E3,Database!$A$2:$I$9,MATCH(G$1,Database!$A$2:$I$2,0),0)</f>
        <v>0</v>
      </c>
      <c r="H3">
        <f>VLOOKUP($E3,Database!$A$2:$I$9,MATCH(H$1,Database!$A$2:$I$2,0),0)</f>
        <v>0</v>
      </c>
      <c r="I3">
        <f>VLOOKUP($E3,Database!$A$2:$I$9,MATCH(I$1,Database!$A$2:$I$2,0),0)</f>
        <v>19.52</v>
      </c>
      <c r="J3">
        <f>VLOOKUP($E3,Database!$A$2:$I$9,MATCH(J$1,Database!$A$2:$I$2,0),0)</f>
        <v>19.53</v>
      </c>
      <c r="M3" s="31"/>
      <c r="N3" s="32"/>
      <c r="O3" s="32"/>
      <c r="P3" s="33"/>
    </row>
    <row r="4" spans="1:16" x14ac:dyDescent="0.3">
      <c r="A4" t="s">
        <v>2</v>
      </c>
      <c r="B4">
        <f>RTD("rit2.rtd",,"TIMEREMAINING")</f>
        <v>180</v>
      </c>
      <c r="E4" t="str">
        <f>"ELEC-DAY"&amp;B5+1</f>
        <v>ELEC-DAY6</v>
      </c>
      <c r="F4">
        <f>VLOOKUP($E4,Database!$A$2:$I$9,MATCH(F$1,Database!$A$2:$I$2,0),0)</f>
        <v>0</v>
      </c>
      <c r="G4" s="3">
        <f>VLOOKUP($E4,Database!$A$2:$I$9,MATCH(G$1,Database!$A$2:$I$2,0),0)</f>
        <v>0</v>
      </c>
      <c r="H4">
        <f>VLOOKUP($E4,Database!$A$2:$I$9,MATCH(H$1,Database!$A$2:$I$2,0),0)</f>
        <v>0</v>
      </c>
      <c r="I4">
        <f>VLOOKUP($E4,Database!$A$2:$I$9,MATCH(I$1,Database!$A$2:$I$2,0),0)</f>
        <v>0</v>
      </c>
      <c r="J4">
        <f>VLOOKUP($E4,Database!$A$2:$I$9,MATCH(J$1,Database!$A$2:$I$2,0),0)</f>
        <v>0</v>
      </c>
      <c r="M4" s="31"/>
      <c r="N4" s="32"/>
      <c r="O4" s="32"/>
      <c r="P4" s="33"/>
    </row>
    <row r="5" spans="1:16" ht="15" thickBot="1" x14ac:dyDescent="0.35">
      <c r="A5" t="s">
        <v>3</v>
      </c>
      <c r="B5">
        <f>RTD("rit2.rtd",,"PERIOD")</f>
        <v>5</v>
      </c>
      <c r="E5" t="s">
        <v>16</v>
      </c>
      <c r="F5">
        <f>VLOOKUP($E5,Database!$A$2:$I$9,MATCH(F$1,Database!$A$2:$I$2,0),0)-20</f>
        <v>-20</v>
      </c>
      <c r="G5" s="3">
        <f>VLOOKUP($E5,Database!$A$2:$I$9,MATCH(G$1,Database!$A$2:$I$2,0),0)</f>
        <v>0</v>
      </c>
      <c r="H5">
        <f>VLOOKUP($E5,Database!$A$2:$I$9,MATCH(H$1,Database!$A$2:$I$2,0),0)</f>
        <v>10</v>
      </c>
      <c r="I5">
        <f>VLOOKUP($E5,Database!$A$2:$I$9,MATCH(I$1,Database!$A$2:$I$2,0),0)</f>
        <v>0</v>
      </c>
      <c r="J5">
        <f>VLOOKUP($E5,Database!$A$2:$I$9,MATCH(J$1,Database!$A$2:$I$2,0),0)</f>
        <v>20</v>
      </c>
      <c r="M5" s="34"/>
      <c r="N5" s="35"/>
      <c r="O5" s="35"/>
      <c r="P5" s="36"/>
    </row>
    <row r="6" spans="1:16" ht="15" thickBot="1" x14ac:dyDescent="0.35"/>
    <row r="7" spans="1:16" ht="14.4" customHeight="1" x14ac:dyDescent="0.3">
      <c r="A7" s="18" t="s">
        <v>22</v>
      </c>
      <c r="B7" s="18"/>
      <c r="C7" s="18"/>
      <c r="M7" s="9" t="str">
        <f>RTD("rit2.rtd",,"LAtestNEWS",1)</f>
        <v>4,180,,SPOT PRICE AND VOLUMES FOR DAY 5,The Regulatory Authority for Electricity board decided that on day 5 the following prices and volumes will be enforced:&lt;br&gt;&lt;br&gt;283 contracts are available for market participants to buy at a price of $19.53&lt;br&gt;&lt;br&gt;283 contracts are available for market participants to sell at a price of $19.52</v>
      </c>
      <c r="N7" s="10"/>
      <c r="O7" s="10"/>
      <c r="P7" s="11"/>
    </row>
    <row r="8" spans="1:16" ht="14.4" customHeight="1" x14ac:dyDescent="0.3">
      <c r="B8" s="39" t="s">
        <v>26</v>
      </c>
      <c r="C8" s="39"/>
      <c r="D8" s="39" t="s">
        <v>27</v>
      </c>
      <c r="E8" s="39"/>
      <c r="F8" s="39" t="s">
        <v>28</v>
      </c>
      <c r="G8" s="39"/>
      <c r="H8" s="40" t="s">
        <v>34</v>
      </c>
      <c r="I8" s="41"/>
      <c r="J8" t="s">
        <v>36</v>
      </c>
      <c r="M8" s="12"/>
      <c r="N8" s="13"/>
      <c r="O8" s="13"/>
      <c r="P8" s="14"/>
    </row>
    <row r="9" spans="1:16" x14ac:dyDescent="0.3">
      <c r="A9" t="s">
        <v>23</v>
      </c>
      <c r="B9" t="s">
        <v>24</v>
      </c>
      <c r="C9" t="s">
        <v>25</v>
      </c>
      <c r="D9" t="s">
        <v>24</v>
      </c>
      <c r="E9" t="s">
        <v>25</v>
      </c>
      <c r="F9" t="s">
        <v>24</v>
      </c>
      <c r="G9" t="s">
        <v>25</v>
      </c>
      <c r="H9" s="4" t="s">
        <v>24</v>
      </c>
      <c r="I9" s="5" t="s">
        <v>25</v>
      </c>
      <c r="M9" s="12"/>
      <c r="N9" s="13"/>
      <c r="O9" s="13"/>
      <c r="P9" s="14"/>
    </row>
    <row r="10" spans="1:16" x14ac:dyDescent="0.3">
      <c r="A10">
        <f>B5+1</f>
        <v>6</v>
      </c>
      <c r="B10" s="1">
        <v>8</v>
      </c>
      <c r="C10" s="1">
        <v>14</v>
      </c>
      <c r="D10">
        <f>B10*6</f>
        <v>48</v>
      </c>
      <c r="E10">
        <f>C10*6</f>
        <v>84</v>
      </c>
      <c r="F10">
        <f>ROUNDUP(-D10/5,0)</f>
        <v>-10</v>
      </c>
      <c r="G10">
        <f>ROUNDUP(-E10/5,0)</f>
        <v>-17</v>
      </c>
      <c r="H10" s="6">
        <f>-F5*5-D10</f>
        <v>52</v>
      </c>
      <c r="I10" s="7">
        <f>-F5*5-E10</f>
        <v>16</v>
      </c>
      <c r="J10">
        <f>G10-F5</f>
        <v>3</v>
      </c>
      <c r="M10" s="12"/>
      <c r="N10" s="13"/>
      <c r="O10" s="13"/>
      <c r="P10" s="14"/>
    </row>
    <row r="11" spans="1:16" x14ac:dyDescent="0.3">
      <c r="F11" s="37" t="s">
        <v>35</v>
      </c>
      <c r="G11" s="38"/>
      <c r="H11" s="4">
        <f>H10*8</f>
        <v>416</v>
      </c>
      <c r="I11" s="5">
        <f>I10*8</f>
        <v>128</v>
      </c>
      <c r="M11" s="12"/>
      <c r="N11" s="13"/>
      <c r="O11" s="13"/>
      <c r="P11" s="14"/>
    </row>
    <row r="12" spans="1:16" ht="15" thickBot="1" x14ac:dyDescent="0.35">
      <c r="M12" s="12"/>
      <c r="N12" s="13"/>
      <c r="O12" s="13"/>
      <c r="P12" s="14"/>
    </row>
    <row r="13" spans="1:16" x14ac:dyDescent="0.3">
      <c r="H13" s="19" t="str">
        <f>IF(B3&gt;150," Trade "&amp;J10&amp;" Forwards"&amp;IF(AVERAGE(H11:I11)&gt;0," or Convert "&amp;AVERAGE(H11:I11)&amp; " NG into electricity","") &amp; " or run deficit and cover next day","")</f>
        <v/>
      </c>
      <c r="I13" s="20"/>
      <c r="J13" s="21"/>
      <c r="M13" s="12"/>
      <c r="N13" s="13"/>
      <c r="O13" s="13"/>
      <c r="P13" s="14"/>
    </row>
    <row r="14" spans="1:16" x14ac:dyDescent="0.3">
      <c r="H14" s="22"/>
      <c r="I14" s="23"/>
      <c r="J14" s="24"/>
      <c r="M14" s="12"/>
      <c r="N14" s="13"/>
      <c r="O14" s="13"/>
      <c r="P14" s="14"/>
    </row>
    <row r="15" spans="1:16" ht="15" thickBot="1" x14ac:dyDescent="0.35">
      <c r="A15" s="18" t="s">
        <v>37</v>
      </c>
      <c r="B15" s="18"/>
      <c r="C15" s="18"/>
      <c r="H15" s="25"/>
      <c r="I15" s="26"/>
      <c r="J15" s="27"/>
      <c r="M15" s="12"/>
      <c r="N15" s="13"/>
      <c r="O15" s="13"/>
      <c r="P15" s="14"/>
    </row>
    <row r="16" spans="1:16" ht="15" thickBot="1" x14ac:dyDescent="0.35">
      <c r="B16" s="39" t="s">
        <v>29</v>
      </c>
      <c r="C16" s="39"/>
      <c r="M16" s="12"/>
      <c r="N16" s="13"/>
      <c r="O16" s="13"/>
      <c r="P16" s="14"/>
    </row>
    <row r="17" spans="1:16" x14ac:dyDescent="0.3">
      <c r="A17" t="s">
        <v>23</v>
      </c>
      <c r="B17" t="s">
        <v>24</v>
      </c>
      <c r="C17" t="s">
        <v>25</v>
      </c>
      <c r="H17" s="19" t="str">
        <f>IF(AND(B18&gt;40*J2,B3&gt;150)," Spot Arbitrage - Convert NG into Electricity and sell Market at open","")</f>
        <v/>
      </c>
      <c r="I17" s="20"/>
      <c r="J17" s="21"/>
      <c r="M17" s="12"/>
      <c r="N17" s="13"/>
      <c r="O17" s="13"/>
      <c r="P17" s="14"/>
    </row>
    <row r="18" spans="1:16" x14ac:dyDescent="0.3">
      <c r="A18">
        <f>B13+1</f>
        <v>1</v>
      </c>
      <c r="B18" s="1">
        <v>13.01</v>
      </c>
      <c r="C18" s="1">
        <v>23.01</v>
      </c>
      <c r="H18" s="22"/>
      <c r="I18" s="23"/>
      <c r="J18" s="24"/>
      <c r="M18" s="12"/>
      <c r="N18" s="13"/>
      <c r="O18" s="13"/>
      <c r="P18" s="14"/>
    </row>
    <row r="19" spans="1:16" ht="15" thickBot="1" x14ac:dyDescent="0.35">
      <c r="H19" s="25"/>
      <c r="I19" s="26"/>
      <c r="J19" s="27"/>
      <c r="M19" s="12"/>
      <c r="N19" s="13"/>
      <c r="O19" s="13"/>
      <c r="P19" s="14"/>
    </row>
    <row r="20" spans="1:16" ht="15" thickBot="1" x14ac:dyDescent="0.35">
      <c r="M20" s="12"/>
      <c r="N20" s="13"/>
      <c r="O20" s="13"/>
      <c r="P20" s="14"/>
    </row>
    <row r="21" spans="1:16" x14ac:dyDescent="0.3">
      <c r="A21" s="18" t="s">
        <v>38</v>
      </c>
      <c r="B21" s="18"/>
      <c r="C21" s="18"/>
      <c r="H21" s="19" t="str">
        <f>IF(I5&gt;40*J2," Forward Arbitrage - Short 1 Forward and Convert 40 NG","")</f>
        <v/>
      </c>
      <c r="I21" s="20"/>
      <c r="J21" s="21"/>
      <c r="M21" s="12"/>
      <c r="N21" s="13"/>
      <c r="O21" s="13"/>
      <c r="P21" s="14"/>
    </row>
    <row r="22" spans="1:16" x14ac:dyDescent="0.3">
      <c r="H22" s="22"/>
      <c r="I22" s="23"/>
      <c r="J22" s="24"/>
      <c r="M22" s="12"/>
      <c r="N22" s="13"/>
      <c r="O22" s="13"/>
      <c r="P22" s="14"/>
    </row>
    <row r="23" spans="1:16" ht="15" thickBot="1" x14ac:dyDescent="0.35">
      <c r="H23" s="25"/>
      <c r="I23" s="26"/>
      <c r="J23" s="27"/>
      <c r="M23" s="12"/>
      <c r="N23" s="13"/>
      <c r="O23" s="13"/>
      <c r="P23" s="14"/>
    </row>
    <row r="24" spans="1:16" ht="15" thickBot="1" x14ac:dyDescent="0.35">
      <c r="M24" s="12"/>
      <c r="N24" s="13"/>
      <c r="O24" s="13"/>
      <c r="P24" s="14"/>
    </row>
    <row r="25" spans="1:16" x14ac:dyDescent="0.3">
      <c r="A25" s="18" t="s">
        <v>39</v>
      </c>
      <c r="B25" s="18"/>
      <c r="C25" s="18"/>
      <c r="H25" s="19" t="str">
        <f>IFERROR(IF(F3&gt;0," Sell Excess Electricity",IF(AND(F3&lt;0,B3&gt;135)," Cover the Deficit in market","")),"")</f>
        <v xml:space="preserve"> Sell Excess Electricity</v>
      </c>
      <c r="I25" s="20"/>
      <c r="J25" s="21"/>
      <c r="M25" s="12"/>
      <c r="N25" s="13"/>
      <c r="O25" s="13"/>
      <c r="P25" s="14"/>
    </row>
    <row r="26" spans="1:16" ht="14.4" customHeight="1" thickBot="1" x14ac:dyDescent="0.35">
      <c r="H26" s="22"/>
      <c r="I26" s="23"/>
      <c r="J26" s="24"/>
      <c r="M26" s="15"/>
      <c r="N26" s="16"/>
      <c r="O26" s="16"/>
      <c r="P26" s="17"/>
    </row>
    <row r="27" spans="1:16" ht="15" thickBot="1" x14ac:dyDescent="0.35">
      <c r="H27" s="25"/>
      <c r="I27" s="26"/>
      <c r="J27" s="27"/>
    </row>
  </sheetData>
  <mergeCells count="16">
    <mergeCell ref="A25:C25"/>
    <mergeCell ref="A7:C7"/>
    <mergeCell ref="H25:J27"/>
    <mergeCell ref="M7:P26"/>
    <mergeCell ref="M2:P5"/>
    <mergeCell ref="F11:G11"/>
    <mergeCell ref="A21:C21"/>
    <mergeCell ref="H13:J15"/>
    <mergeCell ref="H21:J23"/>
    <mergeCell ref="H17:J19"/>
    <mergeCell ref="B8:C8"/>
    <mergeCell ref="D8:E8"/>
    <mergeCell ref="F8:G8"/>
    <mergeCell ref="A15:C15"/>
    <mergeCell ref="B16:C16"/>
    <mergeCell ref="H8:I8"/>
  </mergeCells>
  <conditionalFormatting sqref="B2">
    <cfRule type="cellIs" dxfId="2" priority="3" operator="lessThan">
      <formula>0</formula>
    </cfRule>
  </conditionalFormatting>
  <conditionalFormatting sqref="B5">
    <cfRule type="colorScale" priority="1">
      <colorScale>
        <cfvo type="num" val="1"/>
        <cfvo type="num" val="6"/>
        <color theme="7" tint="0.59999389629810485"/>
        <color theme="8" tint="0.59999389629810485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E1D3-0DBA-46C6-B708-14B95A768817}">
  <dimension ref="A1:P26"/>
  <sheetViews>
    <sheetView tabSelected="1" workbookViewId="0">
      <selection activeCell="H24" sqref="H24:J26"/>
    </sheetView>
  </sheetViews>
  <sheetFormatPr defaultRowHeight="14.4" x14ac:dyDescent="0.3"/>
  <cols>
    <col min="1" max="1" width="17.44140625" bestFit="1" customWidth="1"/>
    <col min="2" max="2" width="11.5546875" bestFit="1" customWidth="1"/>
    <col min="3" max="3" width="13.109375" bestFit="1" customWidth="1"/>
    <col min="4" max="4" width="13.6640625" bestFit="1" customWidth="1"/>
    <col min="5" max="5" width="16.6640625" bestFit="1" customWidth="1"/>
    <col min="6" max="6" width="15.109375" bestFit="1" customWidth="1"/>
    <col min="7" max="7" width="13.109375" bestFit="1" customWidth="1"/>
    <col min="8" max="8" width="12.88671875" bestFit="1" customWidth="1"/>
    <col min="9" max="9" width="12.6640625" bestFit="1" customWidth="1"/>
    <col min="10" max="10" width="16" bestFit="1" customWidth="1"/>
  </cols>
  <sheetData>
    <row r="1" spans="1:16" ht="15" thickBot="1" x14ac:dyDescent="0.35">
      <c r="A1" t="s">
        <v>0</v>
      </c>
      <c r="B1" t="str">
        <f>RTD("rit2.rtd",,"TRADERID")</f>
        <v>UCBE-D</v>
      </c>
      <c r="E1" t="s">
        <v>13</v>
      </c>
      <c r="F1" t="s">
        <v>6</v>
      </c>
      <c r="G1" t="s">
        <v>12</v>
      </c>
      <c r="H1" t="s">
        <v>5</v>
      </c>
      <c r="I1" t="s">
        <v>7</v>
      </c>
      <c r="J1" t="s">
        <v>8</v>
      </c>
    </row>
    <row r="2" spans="1:16" x14ac:dyDescent="0.3">
      <c r="A2" t="s">
        <v>1</v>
      </c>
      <c r="B2" s="2">
        <f>RTD("rit2.rtd",,"PL")</f>
        <v>-2378564</v>
      </c>
      <c r="E2" t="s">
        <v>15</v>
      </c>
      <c r="F2">
        <f>VLOOKUP($E2,Database!$A$2:$I$9,MATCH(F$1,Database!$A$2:$I$2,0),0)</f>
        <v>0</v>
      </c>
      <c r="G2">
        <f>VLOOKUP($E2,Database!$A$2:$I$9,MATCH(G$1,Database!$A$2:$I$2,0),0)</f>
        <v>0</v>
      </c>
      <c r="H2">
        <f>VLOOKUP($E2,Database!$A$2:$I$9,MATCH(H$1,Database!$A$2:$I$2,0),0)</f>
        <v>2.4900000000000002</v>
      </c>
      <c r="I2">
        <f>VLOOKUP($E2,Database!$A$2:$I$9,MATCH(I$1,Database!$A$2:$I$2,0),0)</f>
        <v>2.4700000000000002</v>
      </c>
      <c r="J2">
        <f>VLOOKUP($E2,Database!$A$2:$I$9,MATCH(J$1,Database!$A$2:$I$2,0),0)</f>
        <v>2.5099999999999998</v>
      </c>
      <c r="M2" s="28" t="str">
        <f>VLOOKUP(B3,Database!$Q$2:$R$6,2,1)</f>
        <v>Update Temperature Forecast</v>
      </c>
      <c r="N2" s="29"/>
      <c r="O2" s="29"/>
      <c r="P2" s="30"/>
    </row>
    <row r="3" spans="1:16" x14ac:dyDescent="0.3">
      <c r="A3" t="s">
        <v>14</v>
      </c>
      <c r="B3">
        <f>180-B4</f>
        <v>0</v>
      </c>
      <c r="C3">
        <f>180*(B5-1)+B3</f>
        <v>720</v>
      </c>
      <c r="E3" t="str">
        <f>"ELEC-DAY"&amp;B5</f>
        <v>ELEC-DAY5</v>
      </c>
      <c r="F3">
        <f>VLOOKUP($E3,Database!$A$2:$I$9,MATCH(F$1,Database!$A$2:$I$2,0),0)</f>
        <v>173</v>
      </c>
      <c r="G3" s="3">
        <f>VLOOKUP($E3,Database!$A$2:$I$9,MATCH(G$1,Database!$A$2:$I$2,0),0)</f>
        <v>0</v>
      </c>
      <c r="H3">
        <f>VLOOKUP($E3,Database!$A$2:$I$9,MATCH(H$1,Database!$A$2:$I$2,0),0)</f>
        <v>0</v>
      </c>
      <c r="I3">
        <f>VLOOKUP($E3,Database!$A$2:$I$9,MATCH(I$1,Database!$A$2:$I$2,0),0)</f>
        <v>19.52</v>
      </c>
      <c r="J3">
        <f>VLOOKUP($E3,Database!$A$2:$I$9,MATCH(J$1,Database!$A$2:$I$2,0),0)</f>
        <v>19.53</v>
      </c>
      <c r="M3" s="31"/>
      <c r="N3" s="32"/>
      <c r="O3" s="32"/>
      <c r="P3" s="33"/>
    </row>
    <row r="4" spans="1:16" x14ac:dyDescent="0.3">
      <c r="A4" t="s">
        <v>2</v>
      </c>
      <c r="B4">
        <f>RTD("rit2.rtd",,"TIMEREMAINING")</f>
        <v>180</v>
      </c>
      <c r="E4" t="str">
        <f>"ELEC-DAY"&amp;B5+1</f>
        <v>ELEC-DAY6</v>
      </c>
      <c r="F4">
        <f>VLOOKUP($E4,Database!$A$2:$I$9,MATCH(F$1,Database!$A$2:$I$2,0),0)</f>
        <v>0</v>
      </c>
      <c r="G4" s="3">
        <f>VLOOKUP($E4,Database!$A$2:$I$9,MATCH(G$1,Database!$A$2:$I$2,0),0)</f>
        <v>0</v>
      </c>
      <c r="H4">
        <f>VLOOKUP($E4,Database!$A$2:$I$9,MATCH(H$1,Database!$A$2:$I$2,0),0)</f>
        <v>0</v>
      </c>
      <c r="I4">
        <f>VLOOKUP($E4,Database!$A$2:$I$9,MATCH(I$1,Database!$A$2:$I$2,0),0)</f>
        <v>0</v>
      </c>
      <c r="J4">
        <f>VLOOKUP($E4,Database!$A$2:$I$9,MATCH(J$1,Database!$A$2:$I$2,0),0)</f>
        <v>0</v>
      </c>
      <c r="M4" s="31"/>
      <c r="N4" s="32"/>
      <c r="O4" s="32"/>
      <c r="P4" s="33"/>
    </row>
    <row r="5" spans="1:16" ht="15" thickBot="1" x14ac:dyDescent="0.35">
      <c r="A5" t="s">
        <v>3</v>
      </c>
      <c r="B5">
        <f>RTD("rit2.rtd",,"PERIOD")</f>
        <v>5</v>
      </c>
      <c r="E5" t="s">
        <v>16</v>
      </c>
      <c r="F5">
        <f>VLOOKUP($E5,Database!$A$2:$I$9,MATCH(F$1,Database!$A$2:$I$2,0),0)</f>
        <v>0</v>
      </c>
      <c r="G5" s="3">
        <f>VLOOKUP($E5,Database!$A$2:$I$9,MATCH(G$1,Database!$A$2:$I$2,0),0)</f>
        <v>0</v>
      </c>
      <c r="H5">
        <f>VLOOKUP($E5,Database!$A$2:$I$9,MATCH(H$1,Database!$A$2:$I$2,0),0)</f>
        <v>10</v>
      </c>
      <c r="I5">
        <f>VLOOKUP($E5,Database!$A$2:$I$9,MATCH(I$1,Database!$A$2:$I$2,0),0)</f>
        <v>0</v>
      </c>
      <c r="J5">
        <f>VLOOKUP($E5,Database!$A$2:$I$9,MATCH(J$1,Database!$A$2:$I$2,0),0)</f>
        <v>20</v>
      </c>
      <c r="M5" s="34"/>
      <c r="N5" s="35"/>
      <c r="O5" s="35"/>
      <c r="P5" s="36"/>
    </row>
    <row r="6" spans="1:16" ht="15" thickBot="1" x14ac:dyDescent="0.35"/>
    <row r="7" spans="1:16" ht="14.4" customHeight="1" x14ac:dyDescent="0.3">
      <c r="A7" s="18" t="s">
        <v>40</v>
      </c>
      <c r="B7" s="18"/>
      <c r="C7" s="18"/>
      <c r="F7" s="8"/>
      <c r="G7" s="8"/>
      <c r="H7" s="8"/>
      <c r="I7" s="8"/>
      <c r="M7" s="9" t="str">
        <f>RTD("rit2.rtd",,"LAtestNEWS",1)</f>
        <v>4,180,,SPOT PRICE AND VOLUMES FOR DAY 5,The Regulatory Authority for Electricity board decided that on day 5 the following prices and volumes will be enforced:&lt;br&gt;&lt;br&gt;283 contracts are available for market participants to buy at a price of $19.53&lt;br&gt;&lt;br&gt;283 contracts are available for market participants to sell at a price of $19.52</v>
      </c>
      <c r="N7" s="10"/>
      <c r="O7" s="10"/>
      <c r="P7" s="11"/>
    </row>
    <row r="8" spans="1:16" ht="14.4" customHeight="1" x14ac:dyDescent="0.3">
      <c r="B8" s="39" t="s">
        <v>41</v>
      </c>
      <c r="C8" s="39"/>
      <c r="D8" s="39" t="s">
        <v>27</v>
      </c>
      <c r="E8" s="39"/>
      <c r="F8" s="42" t="s">
        <v>42</v>
      </c>
      <c r="G8" s="42"/>
      <c r="H8" s="42" t="s">
        <v>34</v>
      </c>
      <c r="I8" s="42"/>
      <c r="J8" t="s">
        <v>36</v>
      </c>
      <c r="M8" s="12"/>
      <c r="N8" s="13"/>
      <c r="O8" s="13"/>
      <c r="P8" s="14"/>
    </row>
    <row r="9" spans="1:16" x14ac:dyDescent="0.3">
      <c r="A9" t="s">
        <v>23</v>
      </c>
      <c r="B9" t="s">
        <v>24</v>
      </c>
      <c r="C9" t="s">
        <v>25</v>
      </c>
      <c r="D9" t="s">
        <v>24</v>
      </c>
      <c r="E9" t="s">
        <v>25</v>
      </c>
      <c r="F9" s="8" t="s">
        <v>24</v>
      </c>
      <c r="G9" s="8" t="s">
        <v>25</v>
      </c>
      <c r="H9" s="8" t="s">
        <v>24</v>
      </c>
      <c r="I9" s="8" t="s">
        <v>25</v>
      </c>
      <c r="M9" s="12"/>
      <c r="N9" s="13"/>
      <c r="O9" s="13"/>
      <c r="P9" s="14"/>
    </row>
    <row r="10" spans="1:16" x14ac:dyDescent="0.3">
      <c r="A10">
        <f>B5+1</f>
        <v>6</v>
      </c>
      <c r="B10" s="1">
        <v>18</v>
      </c>
      <c r="C10" s="1">
        <v>18</v>
      </c>
      <c r="D10">
        <f>ROUND(200-15*B10+0.8*B10^2-0.01*B10^3,0)</f>
        <v>131</v>
      </c>
      <c r="E10">
        <f>ROUND(200-15*C10+0.8*C10^2-0.01*C10^3,0)</f>
        <v>131</v>
      </c>
      <c r="F10" s="8">
        <f>ROUNDUP(D10/5,0)</f>
        <v>27</v>
      </c>
      <c r="G10" s="8">
        <f>ROUNDUP(E10/5,0)</f>
        <v>27</v>
      </c>
      <c r="H10" s="8">
        <f>-F5*5-D10</f>
        <v>-131</v>
      </c>
      <c r="I10" s="8">
        <f>-F5*5-E10</f>
        <v>-131</v>
      </c>
      <c r="J10">
        <f>IF(OR(B5=5,I5&gt;70),G10-F5,0)</f>
        <v>27</v>
      </c>
      <c r="M10" s="12"/>
      <c r="N10" s="13"/>
      <c r="O10" s="13"/>
      <c r="P10" s="14"/>
    </row>
    <row r="11" spans="1:16" ht="15" thickBot="1" x14ac:dyDescent="0.35">
      <c r="F11" s="42"/>
      <c r="G11" s="42"/>
      <c r="H11" s="8"/>
      <c r="I11" s="8"/>
      <c r="M11" s="12"/>
      <c r="N11" s="13"/>
      <c r="O11" s="13"/>
      <c r="P11" s="14"/>
    </row>
    <row r="12" spans="1:16" x14ac:dyDescent="0.3">
      <c r="H12" s="19" t="str">
        <f xml:space="preserve"> IF(J10&lt;&gt;0, " Forwards to trade " &amp; -J10 &amp; "Cover before" &amp; B4 &amp; " &lt; 15 ","")</f>
        <v xml:space="preserve"> Forwards to trade -27Cover before180 &lt; 15 </v>
      </c>
      <c r="I12" s="20"/>
      <c r="J12" s="21"/>
      <c r="M12" s="12"/>
      <c r="N12" s="13"/>
      <c r="O12" s="13"/>
      <c r="P12" s="14"/>
    </row>
    <row r="13" spans="1:16" x14ac:dyDescent="0.3">
      <c r="H13" s="22"/>
      <c r="I13" s="23"/>
      <c r="J13" s="24"/>
      <c r="M13" s="12"/>
      <c r="N13" s="13"/>
      <c r="O13" s="13"/>
      <c r="P13" s="14"/>
    </row>
    <row r="14" spans="1:16" ht="15" thickBot="1" x14ac:dyDescent="0.35">
      <c r="H14" s="25"/>
      <c r="I14" s="26"/>
      <c r="J14" s="27"/>
      <c r="M14" s="12"/>
      <c r="N14" s="13"/>
      <c r="O14" s="13"/>
      <c r="P14" s="14"/>
    </row>
    <row r="15" spans="1:16" x14ac:dyDescent="0.3">
      <c r="M15" s="12"/>
      <c r="N15" s="13"/>
      <c r="O15" s="13"/>
      <c r="P15" s="14"/>
    </row>
    <row r="16" spans="1:16" ht="15" thickBot="1" x14ac:dyDescent="0.35">
      <c r="M16" s="12"/>
      <c r="N16" s="13"/>
      <c r="O16" s="13"/>
      <c r="P16" s="14"/>
    </row>
    <row r="17" spans="1:16" x14ac:dyDescent="0.3">
      <c r="A17" s="18" t="s">
        <v>46</v>
      </c>
      <c r="B17" s="18"/>
      <c r="C17" s="18"/>
      <c r="H17" s="19" t="str">
        <f>IFERROR(IF(AND(C20&gt;I3,B5&lt;5)," Short Forwards, Cover at open",""),IF(OR(J5&lt;B20,B5=5),"Trade "&amp;J10&amp;"Forwards"," "))</f>
        <v/>
      </c>
      <c r="I17" s="20"/>
      <c r="J17" s="21"/>
      <c r="M17" s="12"/>
      <c r="N17" s="13"/>
      <c r="O17" s="13"/>
      <c r="P17" s="14"/>
    </row>
    <row r="18" spans="1:16" ht="14.4" customHeight="1" x14ac:dyDescent="0.3">
      <c r="B18" s="39" t="s">
        <v>29</v>
      </c>
      <c r="C18" s="39"/>
      <c r="H18" s="22"/>
      <c r="I18" s="23"/>
      <c r="J18" s="24"/>
      <c r="M18" s="12"/>
      <c r="N18" s="13"/>
      <c r="O18" s="13"/>
      <c r="P18" s="14"/>
    </row>
    <row r="19" spans="1:16" ht="15" thickBot="1" x14ac:dyDescent="0.35">
      <c r="A19" t="s">
        <v>23</v>
      </c>
      <c r="B19" t="s">
        <v>24</v>
      </c>
      <c r="C19" t="s">
        <v>25</v>
      </c>
      <c r="H19" s="25"/>
      <c r="I19" s="26"/>
      <c r="J19" s="27"/>
      <c r="M19" s="12"/>
      <c r="N19" s="13"/>
      <c r="O19" s="13"/>
      <c r="P19" s="14"/>
    </row>
    <row r="20" spans="1:16" x14ac:dyDescent="0.3">
      <c r="A20">
        <f>B15+1</f>
        <v>1</v>
      </c>
      <c r="B20" s="1">
        <v>13.01</v>
      </c>
      <c r="C20" s="1">
        <v>23.01</v>
      </c>
      <c r="M20" s="12"/>
      <c r="N20" s="13"/>
      <c r="O20" s="13"/>
      <c r="P20" s="14"/>
    </row>
    <row r="21" spans="1:16" x14ac:dyDescent="0.3">
      <c r="M21" s="12"/>
      <c r="N21" s="13"/>
      <c r="O21" s="13"/>
      <c r="P21" s="14"/>
    </row>
    <row r="22" spans="1:16" x14ac:dyDescent="0.3">
      <c r="M22" s="12"/>
      <c r="N22" s="13"/>
      <c r="O22" s="13"/>
      <c r="P22" s="14"/>
    </row>
    <row r="23" spans="1:16" ht="15" thickBot="1" x14ac:dyDescent="0.35">
      <c r="M23" s="12"/>
      <c r="N23" s="13"/>
      <c r="O23" s="13"/>
      <c r="P23" s="14"/>
    </row>
    <row r="24" spans="1:16" ht="15" thickBot="1" x14ac:dyDescent="0.35">
      <c r="A24" s="18" t="s">
        <v>39</v>
      </c>
      <c r="B24" s="18"/>
      <c r="C24" s="18"/>
      <c r="H24" s="19" t="str">
        <f>IFERROR(IF(F3&gt;0," Sell Excess Electricity",IF(AND(F3&lt;0,B3&gt;135)," Cover the Deficit in market","")),"")</f>
        <v xml:space="preserve"> Sell Excess Electricity</v>
      </c>
      <c r="I24" s="20"/>
      <c r="J24" s="21"/>
      <c r="M24" s="15"/>
      <c r="N24" s="16"/>
      <c r="O24" s="16"/>
      <c r="P24" s="17"/>
    </row>
    <row r="25" spans="1:16" x14ac:dyDescent="0.3">
      <c r="H25" s="22"/>
      <c r="I25" s="23"/>
      <c r="J25" s="24"/>
    </row>
    <row r="26" spans="1:16" ht="15" thickBot="1" x14ac:dyDescent="0.35">
      <c r="H26" s="25"/>
      <c r="I26" s="26"/>
      <c r="J26" s="27"/>
    </row>
  </sheetData>
  <mergeCells count="14">
    <mergeCell ref="M2:P5"/>
    <mergeCell ref="A7:C7"/>
    <mergeCell ref="B8:C8"/>
    <mergeCell ref="D8:E8"/>
    <mergeCell ref="F8:G8"/>
    <mergeCell ref="H8:I8"/>
    <mergeCell ref="F11:G11"/>
    <mergeCell ref="H12:J14"/>
    <mergeCell ref="H17:J19"/>
    <mergeCell ref="M7:P24"/>
    <mergeCell ref="A17:C17"/>
    <mergeCell ref="A24:C24"/>
    <mergeCell ref="H24:J26"/>
    <mergeCell ref="B18:C18"/>
  </mergeCells>
  <conditionalFormatting sqref="B2">
    <cfRule type="cellIs" dxfId="1" priority="2" operator="lessThan">
      <formula>0</formula>
    </cfRule>
  </conditionalFormatting>
  <conditionalFormatting sqref="B5">
    <cfRule type="colorScale" priority="1">
      <colorScale>
        <cfvo type="num" val="1"/>
        <cfvo type="num" val="6"/>
        <color theme="7" tint="0.59999389629810485"/>
        <color theme="8" tint="0.59999389629810485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82EB6-3246-4235-B04D-C8254F896311}">
  <dimension ref="A1:E26"/>
  <sheetViews>
    <sheetView workbookViewId="0">
      <selection activeCell="B9" sqref="B9:E26"/>
    </sheetView>
  </sheetViews>
  <sheetFormatPr defaultRowHeight="14.4" x14ac:dyDescent="0.3"/>
  <cols>
    <col min="1" max="1" width="14" bestFit="1" customWidth="1"/>
    <col min="2" max="2" width="11.5546875" bestFit="1" customWidth="1"/>
  </cols>
  <sheetData>
    <row r="1" spans="1:5" x14ac:dyDescent="0.3">
      <c r="A1" t="s">
        <v>0</v>
      </c>
      <c r="B1" t="str">
        <f>RTD("rit2.rtd",,"TRADERID")</f>
        <v>UCBE-D</v>
      </c>
    </row>
    <row r="2" spans="1:5" x14ac:dyDescent="0.3">
      <c r="A2" t="s">
        <v>1</v>
      </c>
      <c r="B2" s="2">
        <f>RTD("rit2.rtd",,"PL")</f>
        <v>-2378564</v>
      </c>
    </row>
    <row r="3" spans="1:5" x14ac:dyDescent="0.3">
      <c r="A3" t="s">
        <v>14</v>
      </c>
      <c r="B3">
        <f>960-B4</f>
        <v>780</v>
      </c>
    </row>
    <row r="4" spans="1:5" x14ac:dyDescent="0.3">
      <c r="A4" t="s">
        <v>2</v>
      </c>
      <c r="B4">
        <f>RTD("rit2.rtd",,"TIMEREMAINING")</f>
        <v>180</v>
      </c>
    </row>
    <row r="5" spans="1:5" x14ac:dyDescent="0.3">
      <c r="A5" t="s">
        <v>3</v>
      </c>
      <c r="B5">
        <f>RTD("rit2.rtd",,"PERIOD")</f>
        <v>5</v>
      </c>
    </row>
    <row r="8" spans="1:5" ht="15" thickBot="1" x14ac:dyDescent="0.35"/>
    <row r="9" spans="1:5" x14ac:dyDescent="0.3">
      <c r="B9" s="9" t="str">
        <f>RTD("rit2.rtd",,"LAtestNEWS",1)</f>
        <v>4,180,,SPOT PRICE AND VOLUMES FOR DAY 5,The Regulatory Authority for Electricity board decided that on day 5 the following prices and volumes will be enforced:&lt;br&gt;&lt;br&gt;283 contracts are available for market participants to buy at a price of $19.53&lt;br&gt;&lt;br&gt;283 contracts are available for market participants to sell at a price of $19.52</v>
      </c>
      <c r="C9" s="10"/>
      <c r="D9" s="10"/>
      <c r="E9" s="11"/>
    </row>
    <row r="10" spans="1:5" x14ac:dyDescent="0.3">
      <c r="B10" s="12"/>
      <c r="C10" s="13"/>
      <c r="D10" s="13"/>
      <c r="E10" s="14"/>
    </row>
    <row r="11" spans="1:5" x14ac:dyDescent="0.3">
      <c r="B11" s="12"/>
      <c r="C11" s="13"/>
      <c r="D11" s="13"/>
      <c r="E11" s="14"/>
    </row>
    <row r="12" spans="1:5" x14ac:dyDescent="0.3">
      <c r="B12" s="12"/>
      <c r="C12" s="13"/>
      <c r="D12" s="13"/>
      <c r="E12" s="14"/>
    </row>
    <row r="13" spans="1:5" x14ac:dyDescent="0.3">
      <c r="B13" s="12"/>
      <c r="C13" s="13"/>
      <c r="D13" s="13"/>
      <c r="E13" s="14"/>
    </row>
    <row r="14" spans="1:5" x14ac:dyDescent="0.3">
      <c r="B14" s="12"/>
      <c r="C14" s="13"/>
      <c r="D14" s="13"/>
      <c r="E14" s="14"/>
    </row>
    <row r="15" spans="1:5" x14ac:dyDescent="0.3">
      <c r="B15" s="12"/>
      <c r="C15" s="13"/>
      <c r="D15" s="13"/>
      <c r="E15" s="14"/>
    </row>
    <row r="16" spans="1:5" x14ac:dyDescent="0.3">
      <c r="B16" s="12"/>
      <c r="C16" s="13"/>
      <c r="D16" s="13"/>
      <c r="E16" s="14"/>
    </row>
    <row r="17" spans="2:5" x14ac:dyDescent="0.3">
      <c r="B17" s="12"/>
      <c r="C17" s="13"/>
      <c r="D17" s="13"/>
      <c r="E17" s="14"/>
    </row>
    <row r="18" spans="2:5" x14ac:dyDescent="0.3">
      <c r="B18" s="12"/>
      <c r="C18" s="13"/>
      <c r="D18" s="13"/>
      <c r="E18" s="14"/>
    </row>
    <row r="19" spans="2:5" x14ac:dyDescent="0.3">
      <c r="B19" s="12"/>
      <c r="C19" s="13"/>
      <c r="D19" s="13"/>
      <c r="E19" s="14"/>
    </row>
    <row r="20" spans="2:5" x14ac:dyDescent="0.3">
      <c r="B20" s="12"/>
      <c r="C20" s="13"/>
      <c r="D20" s="13"/>
      <c r="E20" s="14"/>
    </row>
    <row r="21" spans="2:5" x14ac:dyDescent="0.3">
      <c r="B21" s="12"/>
      <c r="C21" s="13"/>
      <c r="D21" s="13"/>
      <c r="E21" s="14"/>
    </row>
    <row r="22" spans="2:5" x14ac:dyDescent="0.3">
      <c r="B22" s="12"/>
      <c r="C22" s="13"/>
      <c r="D22" s="13"/>
      <c r="E22" s="14"/>
    </row>
    <row r="23" spans="2:5" x14ac:dyDescent="0.3">
      <c r="B23" s="12"/>
      <c r="C23" s="13"/>
      <c r="D23" s="13"/>
      <c r="E23" s="14"/>
    </row>
    <row r="24" spans="2:5" x14ac:dyDescent="0.3">
      <c r="B24" s="12"/>
      <c r="C24" s="13"/>
      <c r="D24" s="13"/>
      <c r="E24" s="14"/>
    </row>
    <row r="25" spans="2:5" x14ac:dyDescent="0.3">
      <c r="B25" s="12"/>
      <c r="C25" s="13"/>
      <c r="D25" s="13"/>
      <c r="E25" s="14"/>
    </row>
    <row r="26" spans="2:5" ht="15" thickBot="1" x14ac:dyDescent="0.35">
      <c r="B26" s="15"/>
      <c r="C26" s="16"/>
      <c r="D26" s="16"/>
      <c r="E26" s="17"/>
    </row>
  </sheetData>
  <mergeCells count="1">
    <mergeCell ref="B9:E26"/>
  </mergeCells>
  <conditionalFormatting sqref="B2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Database</vt:lpstr>
      <vt:lpstr>Producer</vt:lpstr>
      <vt:lpstr>Distributor</vt:lpstr>
      <vt:lpstr>Trader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</dc:creator>
  <cp:lastModifiedBy>Mayank</cp:lastModifiedBy>
  <dcterms:created xsi:type="dcterms:W3CDTF">2020-02-17T21:17:09Z</dcterms:created>
  <dcterms:modified xsi:type="dcterms:W3CDTF">2020-02-21T04:12:34Z</dcterms:modified>
</cp:coreProperties>
</file>