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k\Desktop\Rotman\"/>
    </mc:Choice>
  </mc:AlternateContent>
  <xr:revisionPtr revIDLastSave="0" documentId="13_ncr:1_{092A05AD-2A8E-4CC9-955D-B2B4058E5487}" xr6:coauthVersionLast="44" xr6:coauthVersionMax="44" xr10:uidLastSave="{00000000-0000-0000-0000-000000000000}"/>
  <bookViews>
    <workbookView xWindow="-108" yWindow="-108" windowWidth="23256" windowHeight="12576" activeTab="3" xr2:uid="{BA22898C-7F54-400C-95F7-C29450180530}"/>
  </bookViews>
  <sheets>
    <sheet name="Database" sheetId="4" r:id="rId1"/>
    <sheet name="Producer" sheetId="1" r:id="rId2"/>
    <sheet name="Refiner" sheetId="2" r:id="rId3"/>
    <sheet name="Trad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F21" i="2" l="1"/>
  <c r="E9" i="2"/>
  <c r="C14" i="2" s="1"/>
  <c r="E8" i="2"/>
  <c r="C13" i="2" s="1"/>
  <c r="L5" i="2"/>
  <c r="L2" i="2"/>
  <c r="L10" i="1"/>
  <c r="B13" i="4"/>
  <c r="N19" i="2"/>
  <c r="L3" i="1" l="1"/>
  <c r="L2" i="1"/>
  <c r="F8" i="1"/>
  <c r="B14" i="1" s="1"/>
  <c r="B12" i="1" l="1"/>
  <c r="B13" i="1"/>
  <c r="H7" i="4"/>
  <c r="B2" i="2"/>
  <c r="B3" i="4"/>
  <c r="B5" i="3"/>
  <c r="B4" i="1"/>
  <c r="B4" i="4"/>
  <c r="B5" i="4"/>
  <c r="G7" i="4"/>
  <c r="D3" i="4"/>
  <c r="F4" i="4"/>
  <c r="E6" i="4"/>
  <c r="B1" i="1"/>
  <c r="B8" i="4"/>
  <c r="H6" i="4"/>
  <c r="C6" i="4"/>
  <c r="C4" i="4"/>
  <c r="G6" i="4"/>
  <c r="G5" i="4"/>
  <c r="H3" i="4"/>
  <c r="H4" i="4"/>
  <c r="E7" i="4"/>
  <c r="C3" i="4"/>
  <c r="D4" i="4"/>
  <c r="E8" i="4"/>
  <c r="B2" i="1"/>
  <c r="B7" i="4"/>
  <c r="B4" i="2"/>
  <c r="B2" i="3"/>
  <c r="G4" i="4"/>
  <c r="E5" i="4"/>
  <c r="D6" i="4"/>
  <c r="C7" i="4"/>
  <c r="D5" i="4"/>
  <c r="E4" i="4"/>
  <c r="B4" i="3"/>
  <c r="B1" i="2"/>
  <c r="H8" i="4"/>
  <c r="C8" i="4"/>
  <c r="F8" i="4"/>
  <c r="H5" i="4"/>
  <c r="D7" i="4"/>
  <c r="D8" i="4"/>
  <c r="F7" i="4"/>
  <c r="F6" i="4"/>
  <c r="G8" i="4"/>
  <c r="F3" i="4"/>
  <c r="G3" i="4"/>
  <c r="B6" i="4"/>
  <c r="B5" i="1"/>
  <c r="B1" i="3"/>
  <c r="F5" i="4"/>
  <c r="C5" i="4"/>
  <c r="B5" i="2"/>
  <c r="E3" i="4"/>
  <c r="K2" i="2" l="1"/>
  <c r="H2" i="2"/>
  <c r="J4" i="2"/>
  <c r="G5" i="2"/>
  <c r="A32" i="2" s="1"/>
  <c r="B32" i="2" s="1"/>
  <c r="H4" i="2"/>
  <c r="G4" i="2"/>
  <c r="I5" i="2"/>
  <c r="K5" i="2"/>
  <c r="H5" i="2"/>
  <c r="C32" i="2" s="1"/>
  <c r="J5" i="2"/>
  <c r="E32" i="2" s="1"/>
  <c r="I4" i="2"/>
  <c r="K4" i="2"/>
  <c r="G3" i="2"/>
  <c r="G2" i="2"/>
  <c r="I3" i="2"/>
  <c r="K3" i="2"/>
  <c r="J2" i="2"/>
  <c r="H3" i="2"/>
  <c r="J3" i="2"/>
  <c r="I2" i="2"/>
  <c r="J3" i="1"/>
  <c r="E27" i="1" s="1"/>
  <c r="G3" i="1"/>
  <c r="G2" i="1"/>
  <c r="J2" i="1"/>
  <c r="I3" i="1"/>
  <c r="K3" i="1"/>
  <c r="H3" i="1"/>
  <c r="C27" i="1" s="1"/>
  <c r="K2" i="1"/>
  <c r="I2" i="1"/>
  <c r="H2" i="1"/>
  <c r="I6" i="4"/>
  <c r="I7" i="4"/>
  <c r="I5" i="4"/>
  <c r="L4" i="2" s="1"/>
  <c r="I4" i="4"/>
  <c r="L3" i="2" s="1"/>
  <c r="B3" i="1"/>
  <c r="B3" i="3"/>
  <c r="B3" i="2"/>
  <c r="N7" i="2" s="1"/>
  <c r="C21" i="2" l="1"/>
  <c r="H21" i="2" s="1"/>
  <c r="B23" i="2" s="1"/>
  <c r="I21" i="2"/>
  <c r="D32" i="2"/>
  <c r="F32" i="2" s="1"/>
  <c r="J29" i="2" s="1"/>
  <c r="E14" i="2"/>
  <c r="C13" i="1"/>
  <c r="C14" i="1"/>
  <c r="C12" i="1"/>
  <c r="E13" i="2"/>
  <c r="F13" i="2"/>
  <c r="D14" i="2"/>
  <c r="D13" i="2"/>
  <c r="F14" i="2"/>
  <c r="A27" i="1"/>
  <c r="B27" i="1" s="1"/>
  <c r="H18" i="1"/>
  <c r="D12" i="1"/>
  <c r="D13" i="1"/>
  <c r="D14" i="1"/>
  <c r="E12" i="1"/>
  <c r="E13" i="1"/>
  <c r="E14" i="1"/>
  <c r="J23" i="2" l="1"/>
  <c r="G13" i="2"/>
  <c r="H13" i="2" s="1"/>
  <c r="I13" i="2" s="1"/>
  <c r="J13" i="2" s="1"/>
  <c r="G14" i="2"/>
  <c r="H14" i="2" s="1"/>
  <c r="I14" i="2" s="1"/>
  <c r="D27" i="1"/>
  <c r="F27" i="1" s="1"/>
  <c r="H25" i="1" s="1"/>
  <c r="F14" i="1"/>
  <c r="F13" i="1"/>
  <c r="G13" i="1" s="1"/>
  <c r="F12" i="1"/>
  <c r="G12" i="1" s="1"/>
  <c r="J14" i="2" l="1"/>
  <c r="H14" i="1"/>
  <c r="G14" i="1"/>
  <c r="H12" i="1"/>
  <c r="I12" i="1" s="1"/>
  <c r="H13" i="1"/>
  <c r="I13" i="1" s="1"/>
  <c r="J14" i="1" l="1"/>
  <c r="J13" i="1"/>
  <c r="J12" i="1"/>
  <c r="I14" i="1"/>
  <c r="H6" i="1" l="1"/>
</calcChain>
</file>

<file path=xl/sharedStrings.xml><?xml version="1.0" encoding="utf-8"?>
<sst xmlns="http://schemas.openxmlformats.org/spreadsheetml/2006/main" count="114" uniqueCount="64">
  <si>
    <t>Trader-ID</t>
  </si>
  <si>
    <t>PL</t>
  </si>
  <si>
    <t>Time Remaining</t>
  </si>
  <si>
    <t>Current Period</t>
  </si>
  <si>
    <t>CL</t>
  </si>
  <si>
    <t>HO</t>
  </si>
  <si>
    <t>RB</t>
  </si>
  <si>
    <t>HO-2F</t>
  </si>
  <si>
    <t>RB-2F</t>
  </si>
  <si>
    <t>RCA</t>
  </si>
  <si>
    <t>Ticker</t>
  </si>
  <si>
    <t>Last</t>
  </si>
  <si>
    <t>Position</t>
  </si>
  <si>
    <t>Bid</t>
  </si>
  <si>
    <t>Ask</t>
  </si>
  <si>
    <t>MKTBUY</t>
  </si>
  <si>
    <t>MKTSELL</t>
  </si>
  <si>
    <t>Settle price</t>
  </si>
  <si>
    <t>Cost</t>
  </si>
  <si>
    <t>Assets</t>
  </si>
  <si>
    <t>CL- Production</t>
  </si>
  <si>
    <t>Lease Cost</t>
  </si>
  <si>
    <t>Cost per barrel</t>
  </si>
  <si>
    <t>Utilisation Factor</t>
  </si>
  <si>
    <t>Inventory</t>
  </si>
  <si>
    <t>Lease</t>
  </si>
  <si>
    <t>Units per lease</t>
  </si>
  <si>
    <t>Cost Per Barrel</t>
  </si>
  <si>
    <t>Expected PL</t>
  </si>
  <si>
    <t>Inventory Fine</t>
  </si>
  <si>
    <t>Carbon Credits</t>
  </si>
  <si>
    <t>Sell market</t>
  </si>
  <si>
    <t>Hold inventory</t>
  </si>
  <si>
    <t>Production Decision Per Lease Term</t>
  </si>
  <si>
    <t>Lease Time</t>
  </si>
  <si>
    <t>Extraction</t>
  </si>
  <si>
    <t>Need Decision?</t>
  </si>
  <si>
    <t>Oil Trading</t>
  </si>
  <si>
    <t>RCA Trading</t>
  </si>
  <si>
    <t>Units</t>
  </si>
  <si>
    <t>Limit Fine</t>
  </si>
  <si>
    <t>Buy in</t>
  </si>
  <si>
    <t>Fine adjusted</t>
  </si>
  <si>
    <t>Sell Price</t>
  </si>
  <si>
    <t>Current Time</t>
  </si>
  <si>
    <t>N - Refinery</t>
  </si>
  <si>
    <t>O - Refinery</t>
  </si>
  <si>
    <t>Refine</t>
  </si>
  <si>
    <t>Refinery</t>
  </si>
  <si>
    <t>New</t>
  </si>
  <si>
    <t>Old</t>
  </si>
  <si>
    <t>Oil</t>
  </si>
  <si>
    <t>Decision</t>
  </si>
  <si>
    <t>Expected PNL</t>
  </si>
  <si>
    <t>Heating Oil Trading</t>
  </si>
  <si>
    <t>PH0</t>
  </si>
  <si>
    <t>EH0</t>
  </si>
  <si>
    <t>Swing</t>
  </si>
  <si>
    <t>Expected T</t>
  </si>
  <si>
    <t>Realised T</t>
  </si>
  <si>
    <t>SD H0</t>
  </si>
  <si>
    <t>Del H0</t>
  </si>
  <si>
    <t>C H0</t>
  </si>
  <si>
    <t>Live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</si>
</sst>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2" borderId="0" xfId="1" applyNumberFormat="1" applyFont="1" applyFill="1"/>
    <xf numFmtId="44" fontId="0" fillId="0" borderId="0" xfId="0" applyNumberFormat="1"/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9" fontId="0" fillId="2" borderId="0" xfId="0" applyNumberFormat="1" applyFill="1"/>
    <xf numFmtId="0" fontId="0" fillId="0" borderId="0" xfId="0" applyFill="1"/>
    <xf numFmtId="44" fontId="0" fillId="2" borderId="0" xfId="0" applyNumberFormat="1" applyFill="1" applyAlignment="1">
      <alignment vertical="center"/>
    </xf>
    <xf numFmtId="2" fontId="0" fillId="0" borderId="0" xfId="0" applyNumberFormat="1"/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it2.rtd">
      <tp t="s">
        <v>RB|MKTSELL|20</v>
        <stp/>
        <stp>RB</stp>
        <stp>MKTSELL</stp>
        <stp>20</stp>
        <tr r="H5" s="4"/>
      </tp>
      <tp t="s">
        <v>CL|MKTSELL|20</v>
        <stp/>
        <stp>CL</stp>
        <stp>MKTSELL</stp>
        <stp>20</stp>
        <tr r="H3" s="4"/>
      </tp>
      <tp t="s">
        <v>HO|MKTSELL|20</v>
        <stp/>
        <stp>HO</stp>
        <stp>MKTSELL</stp>
        <stp>20</stp>
        <tr r="H4" s="4"/>
      </tp>
      <tp t="s">
        <v>RCA|BID</v>
        <stp/>
        <stp>RCA</stp>
        <stp>Bid</stp>
        <tr r="E8" s="4"/>
      </tp>
      <tp t="s">
        <v>RCA|ASK</v>
        <stp/>
        <stp>RCA</stp>
        <stp>Ask</stp>
        <tr r="F8" s="4"/>
      </tp>
      <tp t="s">
        <v>TIMEREMAINING</v>
        <stp/>
        <stp>TIMEREMAINING</stp>
        <tr r="B4" s="3"/>
        <tr r="B4" s="2"/>
        <tr r="B4" s="1"/>
      </tp>
      <tp t="s">
        <v>PL</v>
        <stp/>
        <stp>PL</stp>
        <tr r="B2" s="3"/>
        <tr r="B2" s="1"/>
        <tr r="B2" s="2"/>
      </tp>
      <tp t="s">
        <v>RCA|POSITION</v>
        <stp/>
        <stp>RCA</stp>
        <stp>Position</stp>
        <tr r="B8" s="4"/>
      </tp>
      <tp t="s">
        <v>CL|LAST</v>
        <stp/>
        <stp>CL</stp>
        <stp>Last</stp>
        <tr r="D3" s="4"/>
      </tp>
      <tp t="s">
        <v>HO|COST</v>
        <stp/>
        <stp>HO</stp>
        <stp>Cost</stp>
        <tr r="C4" s="4"/>
      </tp>
      <tp t="s">
        <v>HO|LAST</v>
        <stp/>
        <stp>HO</stp>
        <stp>Last</stp>
        <tr r="D4" s="4"/>
      </tp>
      <tp t="s">
        <v>RB-2F|POSITION</v>
        <stp/>
        <stp>RB-2F</stp>
        <stp>Position</stp>
        <tr r="B7" s="4"/>
      </tp>
      <tp t="s">
        <v>HO-2F|POSITION</v>
        <stp/>
        <stp>HO-2F</stp>
        <stp>Position</stp>
        <tr r="B6" s="4"/>
      </tp>
      <tp t="s">
        <v>CL|COST</v>
        <stp/>
        <stp>CL</stp>
        <stp>Cost</stp>
        <tr r="C3" s="4"/>
      </tp>
      <tp t="s">
        <v>HO-2F|ASK</v>
        <stp/>
        <stp>HO-2F</stp>
        <stp>Ask</stp>
        <tr r="F6" s="4"/>
      </tp>
      <tp t="s">
        <v>RB-2F|ASK</v>
        <stp/>
        <stp>RB-2F</stp>
        <stp>Ask</stp>
        <tr r="F7" s="4"/>
      </tp>
      <tp t="s">
        <v>HO-2F|BID</v>
        <stp/>
        <stp>HO-2F</stp>
        <stp>Bid</stp>
        <tr r="E6" s="4"/>
      </tp>
      <tp t="s">
        <v>RB-2F|BID</v>
        <stp/>
        <stp>RB-2F</stp>
        <stp>Bid</stp>
        <tr r="E7" s="4"/>
      </tp>
      <tp t="s">
        <v>RB|LAST</v>
        <stp/>
        <stp>RB</stp>
        <stp>Last</stp>
        <tr r="D5" s="4"/>
      </tp>
      <tp t="s">
        <v>LATESTNEWS|1</v>
        <stp/>
        <stp>LAtestNEWS</stp>
        <stp>1</stp>
        <tr r="N19" s="2"/>
        <tr r="B13" s="4"/>
        <tr r="L10" s="1"/>
        <tr r="B9" s="3"/>
      </tp>
      <tp t="s">
        <v>RB|COST</v>
        <stp/>
        <stp>RB</stp>
        <stp>Cost</stp>
        <tr r="C5" s="4"/>
      </tp>
      <tp t="s">
        <v>RB-2F|MKTBUY|20</v>
        <stp/>
        <stp>RB-2F</stp>
        <stp>MKTBUY</stp>
        <stp>20</stp>
        <tr r="G7" s="4"/>
      </tp>
      <tp t="s">
        <v>RB-2F|COST</v>
        <stp/>
        <stp>RB-2F</stp>
        <stp>Cost</stp>
        <tr r="C7" s="4"/>
      </tp>
      <tp t="s">
        <v>HO-2F|COST</v>
        <stp/>
        <stp>HO-2F</stp>
        <stp>Cost</stp>
        <tr r="C6" s="4"/>
      </tp>
      <tp t="s">
        <v>CL|MKTBUY|20</v>
        <stp/>
        <stp>CL</stp>
        <stp>MKTBUY</stp>
        <stp>20</stp>
        <tr r="G3" s="4"/>
      </tp>
      <tp t="s">
        <v>CL|POSITION</v>
        <stp/>
        <stp>CL</stp>
        <stp>Position</stp>
        <tr r="B3" s="4"/>
      </tp>
      <tp t="s">
        <v>HO|MKTBUY|20</v>
        <stp/>
        <stp>HO</stp>
        <stp>MKTBUY</stp>
        <stp>20</stp>
        <tr r="G4" s="4"/>
      </tp>
      <tp t="s">
        <v>HO-2F|MKTSELL|20</v>
        <stp/>
        <stp>HO-2F</stp>
        <stp>MKTSELL</stp>
        <stp>20</stp>
        <tr r="H6" s="4"/>
      </tp>
      <tp t="s">
        <v>RB|MKTBUY|20</v>
        <stp/>
        <stp>RB</stp>
        <stp>MKTBUY</stp>
        <stp>20</stp>
        <tr r="G5" s="4"/>
      </tp>
      <tp t="s">
        <v>RB-2F|MKTSELL|20</v>
        <stp/>
        <stp>RB-2F</stp>
        <stp>MKTSELL</stp>
        <stp>20</stp>
        <tr r="H7" s="4"/>
      </tp>
      <tp t="s">
        <v>RCA|MKTBUY|20</v>
        <stp/>
        <stp>RCA</stp>
        <stp>MKTBUY</stp>
        <stp>20</stp>
        <tr r="G8" s="4"/>
      </tp>
      <tp t="s">
        <v>RB-2F|LAST</v>
        <stp/>
        <stp>RB-2F</stp>
        <stp>Last</stp>
        <tr r="D7" s="4"/>
      </tp>
      <tp t="s">
        <v>HO-2F|LAST</v>
        <stp/>
        <stp>HO-2F</stp>
        <stp>Last</stp>
        <tr r="D6" s="4"/>
      </tp>
      <tp t="s">
        <v>HO|POSITION</v>
        <stp/>
        <stp>HO</stp>
        <stp>Position</stp>
        <tr r="B4" s="4"/>
      </tp>
      <tp t="s">
        <v>RCA|MKTSELL|20</v>
        <stp/>
        <stp>RCA</stp>
        <stp>MKTSELL</stp>
        <stp>20</stp>
        <tr r="H8" s="4"/>
      </tp>
      <tp t="s">
        <v>RB|POSITION</v>
        <stp/>
        <stp>RB</stp>
        <stp>Position</stp>
        <tr r="B5" s="4"/>
      </tp>
      <tp t="s">
        <v>PERIOD</v>
        <stp/>
        <stp>PERIOD</stp>
        <tr r="B5" s="2"/>
        <tr r="B5" s="1"/>
        <tr r="B5" s="3"/>
      </tp>
      <tp t="s">
        <v>RB|ASK</v>
        <stp/>
        <stp>RB</stp>
        <stp>Ask</stp>
        <tr r="F5" s="4"/>
      </tp>
      <tp t="s">
        <v>CL|ASK</v>
        <stp/>
        <stp>CL</stp>
        <stp>Ask</stp>
        <tr r="F3" s="4"/>
      </tp>
      <tp t="s">
        <v>HO|ASK</v>
        <stp/>
        <stp>HO</stp>
        <stp>Ask</stp>
        <tr r="F4" s="4"/>
      </tp>
      <tp t="s">
        <v>HO-2F|MKTBUY|20</v>
        <stp/>
        <stp>HO-2F</stp>
        <stp>MKTBUY</stp>
        <stp>20</stp>
        <tr r="G6" s="4"/>
      </tp>
      <tp t="s">
        <v>HO|BID</v>
        <stp/>
        <stp>HO</stp>
        <stp>Bid</stp>
        <tr r="E4" s="4"/>
      </tp>
      <tp t="s">
        <v>CL|BID</v>
        <stp/>
        <stp>CL</stp>
        <stp>Bid</stp>
        <tr r="E3" s="4"/>
      </tp>
      <tp t="s">
        <v>RB|BID</v>
        <stp/>
        <stp>RB</stp>
        <stp>Bid</stp>
        <tr r="E5" s="4"/>
      </tp>
      <tp t="s">
        <v>TRADERID</v>
        <stp/>
        <stp>TRADERID</stp>
        <tr r="B1" s="3"/>
        <tr r="B1" s="2"/>
        <tr r="B1" s="1"/>
      </tp>
      <tp t="s">
        <v>RCA|COST</v>
        <stp/>
        <stp>RCA</stp>
        <stp>Cost</stp>
        <tr r="C8" s="4"/>
      </tp>
      <tp t="s">
        <v>RCA|LAST</v>
        <stp/>
        <stp>RCA</stp>
        <stp>Last</stp>
        <tr r="D8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2A8F-7F4D-46FE-AE44-3F5CA14C1A40}">
  <dimension ref="A1:I23"/>
  <sheetViews>
    <sheetView workbookViewId="0">
      <selection activeCell="B13" sqref="B13:I23"/>
    </sheetView>
  </sheetViews>
  <sheetFormatPr defaultRowHeight="14.4" x14ac:dyDescent="0.3"/>
  <sheetData>
    <row r="1" spans="1:9" x14ac:dyDescent="0.3">
      <c r="G1" s="1">
        <v>20</v>
      </c>
      <c r="H1" s="1">
        <v>20</v>
      </c>
    </row>
    <row r="2" spans="1:9" x14ac:dyDescent="0.3">
      <c r="A2" t="s">
        <v>10</v>
      </c>
      <c r="B2" t="s">
        <v>12</v>
      </c>
      <c r="C2" t="s">
        <v>18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">
      <c r="A3" t="s">
        <v>4</v>
      </c>
      <c r="B3" t="str">
        <f>RTD("rit2.rtd",,$A3,B$2)</f>
        <v>CL|POSITION</v>
      </c>
      <c r="C3" t="str">
        <f>RTD("rit2.rtd",,$A3,C$2)</f>
        <v>CL|COST</v>
      </c>
      <c r="D3" t="str">
        <f>RTD("rit2.rtd",,$A3,D$2)</f>
        <v>CL|LAST</v>
      </c>
      <c r="E3" t="str">
        <f>RTD("rit2.rtd",,$A3,E$2)</f>
        <v>CL|BID</v>
      </c>
      <c r="F3" t="str">
        <f>RTD("rit2.rtd",,$A3,F$2)</f>
        <v>CL|ASK</v>
      </c>
      <c r="G3" t="str">
        <f>RTD("rit2.rtd",,$A3,G$2,$G$1)</f>
        <v>CL|MKTBUY|20</v>
      </c>
      <c r="H3" t="str">
        <f>RTD("rit2.rtd",,$A3,H$2,$H$1)</f>
        <v>CL|MKTSELL|20</v>
      </c>
      <c r="I3" s="1">
        <v>30</v>
      </c>
    </row>
    <row r="4" spans="1:9" x14ac:dyDescent="0.3">
      <c r="A4" t="s">
        <v>5</v>
      </c>
      <c r="B4" t="str">
        <f>RTD("rit2.rtd",,$A4,B$2)</f>
        <v>HO|POSITION</v>
      </c>
      <c r="C4" t="str">
        <f>RTD("rit2.rtd",,$A4,C$2)</f>
        <v>HO|COST</v>
      </c>
      <c r="D4" t="str">
        <f>RTD("rit2.rtd",,$A4,D$2)</f>
        <v>HO|LAST</v>
      </c>
      <c r="E4" t="str">
        <f>RTD("rit2.rtd",,$A4,E$2)</f>
        <v>HO|BID</v>
      </c>
      <c r="F4" t="str">
        <f>RTD("rit2.rtd",,$A4,F$2)</f>
        <v>HO|ASK</v>
      </c>
      <c r="G4" t="str">
        <f>RTD("rit2.rtd",,$A4,G$2,$G$1)</f>
        <v>HO|MKTBUY|20</v>
      </c>
      <c r="H4" t="str">
        <f>RTD("rit2.rtd",,$A4,H$2,$H$1)</f>
        <v>HO|MKTSELL|20</v>
      </c>
      <c r="I4" t="str">
        <f>D4</f>
        <v>HO|LAST</v>
      </c>
    </row>
    <row r="5" spans="1:9" x14ac:dyDescent="0.3">
      <c r="A5" t="s">
        <v>6</v>
      </c>
      <c r="B5" t="str">
        <f>RTD("rit2.rtd",,$A5,B$2)</f>
        <v>RB|POSITION</v>
      </c>
      <c r="C5" t="str">
        <f>RTD("rit2.rtd",,$A5,C$2)</f>
        <v>RB|COST</v>
      </c>
      <c r="D5" t="str">
        <f>RTD("rit2.rtd",,$A5,D$2)</f>
        <v>RB|LAST</v>
      </c>
      <c r="E5" t="str">
        <f>RTD("rit2.rtd",,$A5,E$2)</f>
        <v>RB|BID</v>
      </c>
      <c r="F5" t="str">
        <f>RTD("rit2.rtd",,$A5,F$2)</f>
        <v>RB|ASK</v>
      </c>
      <c r="G5" t="str">
        <f>RTD("rit2.rtd",,$A5,G$2,$G$1)</f>
        <v>RB|MKTBUY|20</v>
      </c>
      <c r="H5" t="str">
        <f>RTD("rit2.rtd",,$A5,H$2,$H$1)</f>
        <v>RB|MKTSELL|20</v>
      </c>
      <c r="I5" t="str">
        <f>D5</f>
        <v>RB|LAST</v>
      </c>
    </row>
    <row r="6" spans="1:9" x14ac:dyDescent="0.3">
      <c r="A6" t="s">
        <v>7</v>
      </c>
      <c r="B6" t="str">
        <f>RTD("rit2.rtd",,$A6,B$2)</f>
        <v>HO-2F|POSITION</v>
      </c>
      <c r="C6" t="str">
        <f>RTD("rit2.rtd",,$A6,C$2)</f>
        <v>HO-2F|COST</v>
      </c>
      <c r="D6" t="str">
        <f>RTD("rit2.rtd",,$A6,D$2)</f>
        <v>HO-2F|LAST</v>
      </c>
      <c r="E6" t="str">
        <f>RTD("rit2.rtd",,$A6,E$2)</f>
        <v>HO-2F|BID</v>
      </c>
      <c r="F6" t="str">
        <f>RTD("rit2.rtd",,$A6,F$2)</f>
        <v>HO-2F|ASK</v>
      </c>
      <c r="G6" t="str">
        <f>RTD("rit2.rtd",,$A6,G$2,$G$1)</f>
        <v>HO-2F|MKTBUY|20</v>
      </c>
      <c r="H6" t="str">
        <f>RTD("rit2.rtd",,$A6,H$2,$H$1)</f>
        <v>HO-2F|MKTSELL|20</v>
      </c>
      <c r="I6" t="str">
        <f>D6</f>
        <v>HO-2F|LAST</v>
      </c>
    </row>
    <row r="7" spans="1:9" x14ac:dyDescent="0.3">
      <c r="A7" t="s">
        <v>8</v>
      </c>
      <c r="B7" t="str">
        <f>RTD("rit2.rtd",,$A7,B$2)</f>
        <v>RB-2F|POSITION</v>
      </c>
      <c r="C7" t="str">
        <f>RTD("rit2.rtd",,$A7,C$2)</f>
        <v>RB-2F|COST</v>
      </c>
      <c r="D7" t="str">
        <f>RTD("rit2.rtd",,$A7,D$2)</f>
        <v>RB-2F|LAST</v>
      </c>
      <c r="E7" t="str">
        <f>RTD("rit2.rtd",,$A7,E$2)</f>
        <v>RB-2F|BID</v>
      </c>
      <c r="F7" t="str">
        <f>RTD("rit2.rtd",,$A7,F$2)</f>
        <v>RB-2F|ASK</v>
      </c>
      <c r="G7" t="str">
        <f>RTD("rit2.rtd",,$A7,G$2,$G$1)</f>
        <v>RB-2F|MKTBUY|20</v>
      </c>
      <c r="H7" t="str">
        <f>RTD("rit2.rtd",,$A7,H$2,$H$1)</f>
        <v>RB-2F|MKTSELL|20</v>
      </c>
      <c r="I7" t="str">
        <f>D7</f>
        <v>RB-2F|LAST</v>
      </c>
    </row>
    <row r="8" spans="1:9" x14ac:dyDescent="0.3">
      <c r="A8" t="s">
        <v>9</v>
      </c>
      <c r="B8" t="str">
        <f>RTD("rit2.rtd",,$A8,B$2)</f>
        <v>RCA|POSITION</v>
      </c>
      <c r="C8" t="str">
        <f>RTD("rit2.rtd",,$A8,C$2)</f>
        <v>RCA|COST</v>
      </c>
      <c r="D8" t="str">
        <f>RTD("rit2.rtd",,$A8,D$2)</f>
        <v>RCA|LAST</v>
      </c>
      <c r="E8" t="str">
        <f>RTD("rit2.rtd",,$A8,E$2)</f>
        <v>RCA|BID</v>
      </c>
      <c r="F8" t="str">
        <f>RTD("rit2.rtd",,$A8,F$2)</f>
        <v>RCA|ASK</v>
      </c>
      <c r="G8" t="str">
        <f>RTD("rit2.rtd",,$A8,G$2,$G$1)</f>
        <v>RCA|MKTBUY|20</v>
      </c>
      <c r="H8" t="str">
        <f>RTD("rit2.rtd",,$A8,H$2,$H$1)</f>
        <v>RCA|MKTSELL|20</v>
      </c>
      <c r="I8" s="1">
        <v>50</v>
      </c>
    </row>
    <row r="12" spans="1:9" ht="15" thickBot="1" x14ac:dyDescent="0.35"/>
    <row r="13" spans="1:9" ht="14.4" customHeight="1" x14ac:dyDescent="0.3">
      <c r="B13" s="11" t="str">
        <f>RTD("rit2.rtd",,"LAtestNEWS",1)</f>
        <v>LATESTNEWS|1</v>
      </c>
      <c r="C13" s="12"/>
      <c r="D13" s="12"/>
      <c r="E13" s="12"/>
      <c r="F13" s="12"/>
      <c r="G13" s="12"/>
      <c r="H13" s="12"/>
      <c r="I13" s="13"/>
    </row>
    <row r="14" spans="1:9" x14ac:dyDescent="0.3">
      <c r="B14" s="14"/>
      <c r="C14" s="15"/>
      <c r="D14" s="15"/>
      <c r="E14" s="15"/>
      <c r="F14" s="15"/>
      <c r="G14" s="15"/>
      <c r="H14" s="15"/>
      <c r="I14" s="16"/>
    </row>
    <row r="15" spans="1:9" x14ac:dyDescent="0.3">
      <c r="B15" s="14"/>
      <c r="C15" s="15"/>
      <c r="D15" s="15"/>
      <c r="E15" s="15"/>
      <c r="F15" s="15"/>
      <c r="G15" s="15"/>
      <c r="H15" s="15"/>
      <c r="I15" s="16"/>
    </row>
    <row r="16" spans="1:9" x14ac:dyDescent="0.3">
      <c r="B16" s="14"/>
      <c r="C16" s="15"/>
      <c r="D16" s="15"/>
      <c r="E16" s="15"/>
      <c r="F16" s="15"/>
      <c r="G16" s="15"/>
      <c r="H16" s="15"/>
      <c r="I16" s="16"/>
    </row>
    <row r="17" spans="2:9" x14ac:dyDescent="0.3">
      <c r="B17" s="14"/>
      <c r="C17" s="15"/>
      <c r="D17" s="15"/>
      <c r="E17" s="15"/>
      <c r="F17" s="15"/>
      <c r="G17" s="15"/>
      <c r="H17" s="15"/>
      <c r="I17" s="16"/>
    </row>
    <row r="18" spans="2:9" x14ac:dyDescent="0.3">
      <c r="B18" s="14"/>
      <c r="C18" s="15"/>
      <c r="D18" s="15"/>
      <c r="E18" s="15"/>
      <c r="F18" s="15"/>
      <c r="G18" s="15"/>
      <c r="H18" s="15"/>
      <c r="I18" s="16"/>
    </row>
    <row r="19" spans="2:9" x14ac:dyDescent="0.3">
      <c r="B19" s="14"/>
      <c r="C19" s="15"/>
      <c r="D19" s="15"/>
      <c r="E19" s="15"/>
      <c r="F19" s="15"/>
      <c r="G19" s="15"/>
      <c r="H19" s="15"/>
      <c r="I19" s="16"/>
    </row>
    <row r="20" spans="2:9" x14ac:dyDescent="0.3">
      <c r="B20" s="14"/>
      <c r="C20" s="15"/>
      <c r="D20" s="15"/>
      <c r="E20" s="15"/>
      <c r="F20" s="15"/>
      <c r="G20" s="15"/>
      <c r="H20" s="15"/>
      <c r="I20" s="16"/>
    </row>
    <row r="21" spans="2:9" x14ac:dyDescent="0.3">
      <c r="B21" s="14"/>
      <c r="C21" s="15"/>
      <c r="D21" s="15"/>
      <c r="E21" s="15"/>
      <c r="F21" s="15"/>
      <c r="G21" s="15"/>
      <c r="H21" s="15"/>
      <c r="I21" s="16"/>
    </row>
    <row r="22" spans="2:9" x14ac:dyDescent="0.3">
      <c r="B22" s="14"/>
      <c r="C22" s="15"/>
      <c r="D22" s="15"/>
      <c r="E22" s="15"/>
      <c r="F22" s="15"/>
      <c r="G22" s="15"/>
      <c r="H22" s="15"/>
      <c r="I22" s="16"/>
    </row>
    <row r="23" spans="2:9" ht="15" thickBot="1" x14ac:dyDescent="0.35">
      <c r="B23" s="17"/>
      <c r="C23" s="18"/>
      <c r="D23" s="18"/>
      <c r="E23" s="18"/>
      <c r="F23" s="18"/>
      <c r="G23" s="18"/>
      <c r="H23" s="18"/>
      <c r="I23" s="19"/>
    </row>
  </sheetData>
  <mergeCells count="1">
    <mergeCell ref="B1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4A42-131D-46EA-890F-A1BAFFEDED59}">
  <dimension ref="A1:P28"/>
  <sheetViews>
    <sheetView workbookViewId="0">
      <selection activeCell="M23" sqref="M23"/>
    </sheetView>
  </sheetViews>
  <sheetFormatPr defaultRowHeight="14.4" x14ac:dyDescent="0.3"/>
  <cols>
    <col min="1" max="1" width="17.44140625" bestFit="1" customWidth="1"/>
    <col min="2" max="2" width="11.5546875" bestFit="1" customWidth="1"/>
    <col min="3" max="3" width="13.109375" bestFit="1" customWidth="1"/>
    <col min="4" max="4" width="15.109375" bestFit="1" customWidth="1"/>
    <col min="5" max="5" width="16.6640625" bestFit="1" customWidth="1"/>
    <col min="6" max="6" width="15.109375" bestFit="1" customWidth="1"/>
    <col min="7" max="7" width="13.109375" bestFit="1" customWidth="1"/>
    <col min="8" max="8" width="12.88671875" bestFit="1" customWidth="1"/>
    <col min="9" max="9" width="12.6640625" bestFit="1" customWidth="1"/>
    <col min="10" max="10" width="21.44140625" bestFit="1" customWidth="1"/>
  </cols>
  <sheetData>
    <row r="1" spans="1:16" x14ac:dyDescent="0.3">
      <c r="A1" t="s">
        <v>0</v>
      </c>
      <c r="B1" t="str">
        <f>RTD("rit2.rtd",,"TRADERID")</f>
        <v>TRADERID</v>
      </c>
      <c r="D1" t="s">
        <v>36</v>
      </c>
      <c r="F1" t="s">
        <v>24</v>
      </c>
      <c r="G1" t="s">
        <v>12</v>
      </c>
      <c r="H1" t="s">
        <v>18</v>
      </c>
      <c r="I1" t="s">
        <v>11</v>
      </c>
      <c r="J1" t="s">
        <v>13</v>
      </c>
      <c r="K1" t="s">
        <v>14</v>
      </c>
      <c r="L1" t="s">
        <v>17</v>
      </c>
    </row>
    <row r="2" spans="1:16" x14ac:dyDescent="0.3">
      <c r="A2" t="s">
        <v>1</v>
      </c>
      <c r="B2" s="2" t="str">
        <f>RTD("rit2.rtd",,"PL")</f>
        <v>PL</v>
      </c>
      <c r="D2" s="1">
        <v>1</v>
      </c>
      <c r="F2" t="s">
        <v>4</v>
      </c>
      <c r="G2" t="str">
        <f>VLOOKUP($F2,Database!$A$2:$I$8,MATCH(G$1,Database!$A$2:$I$2,0),0)</f>
        <v>CL|POSITION</v>
      </c>
      <c r="H2" t="str">
        <f>VLOOKUP($F2,Database!$A$2:$I$8,MATCH(H$1,Database!$A$2:$I$2,0),0)</f>
        <v>CL|COST</v>
      </c>
      <c r="I2" t="str">
        <f>VLOOKUP($F2,Database!$A$2:$I$8,MATCH(I$1,Database!$A$2:$I$2,0),0)</f>
        <v>CL|LAST</v>
      </c>
      <c r="J2" t="str">
        <f>VLOOKUP($F2,Database!$A$2:$I$8,MATCH(J$1,Database!$A$2:$I$2,0),0)</f>
        <v>CL|BID</v>
      </c>
      <c r="K2" t="str">
        <f>VLOOKUP($F2,Database!$A$2:$I$8,MATCH(K$1,Database!$A$2:$I$2,0),0)</f>
        <v>CL|ASK</v>
      </c>
      <c r="L2">
        <f>VLOOKUP($F2,Database!$A$2:$I$8,MATCH(L$1,Database!$A$2:$I$2,0),0)</f>
        <v>30</v>
      </c>
    </row>
    <row r="3" spans="1:16" x14ac:dyDescent="0.3">
      <c r="A3" t="s">
        <v>44</v>
      </c>
      <c r="B3" t="e">
        <f>960-B4</f>
        <v>#VALUE!</v>
      </c>
      <c r="F3" t="s">
        <v>9</v>
      </c>
      <c r="G3" t="str">
        <f>VLOOKUP($F3,Database!$A$2:$I$8,MATCH(G$1,Database!$A$2:$I$2,0),0)</f>
        <v>RCA|POSITION</v>
      </c>
      <c r="H3" s="10" t="str">
        <f>VLOOKUP($F3,Database!$A$2:$I$8,MATCH(H$1,Database!$A$2:$I$2,0),0)</f>
        <v>RCA|COST</v>
      </c>
      <c r="I3" t="str">
        <f>VLOOKUP($F3,Database!$A$2:$I$8,MATCH(I$1,Database!$A$2:$I$2,0),0)</f>
        <v>RCA|LAST</v>
      </c>
      <c r="J3" t="str">
        <f>VLOOKUP($F3,Database!$A$2:$I$8,MATCH(J$1,Database!$A$2:$I$2,0),0)</f>
        <v>RCA|BID</v>
      </c>
      <c r="K3" t="str">
        <f>VLOOKUP($F3,Database!$A$2:$I$8,MATCH(K$1,Database!$A$2:$I$2,0),0)</f>
        <v>RCA|ASK</v>
      </c>
      <c r="L3">
        <f>VLOOKUP($F3,Database!$A$2:$I$8,MATCH(L$1,Database!$A$2:$I$2,0),0)</f>
        <v>50</v>
      </c>
    </row>
    <row r="4" spans="1:16" x14ac:dyDescent="0.3">
      <c r="A4" t="s">
        <v>2</v>
      </c>
      <c r="B4" t="str">
        <f>RTD("rit2.rtd",,"TIMEREMAINING")</f>
        <v>TIMEREMAINING</v>
      </c>
    </row>
    <row r="5" spans="1:16" ht="15" thickBot="1" x14ac:dyDescent="0.35">
      <c r="A5" t="s">
        <v>3</v>
      </c>
      <c r="B5" t="str">
        <f>RTD("rit2.rtd",,"PERIOD")</f>
        <v>PERIOD</v>
      </c>
    </row>
    <row r="6" spans="1:16" x14ac:dyDescent="0.3">
      <c r="H6" s="20" t="e">
        <f ca="1">IF(D2=1,OFFSET(J11,MATCH(MAX(I12:I14),I12:I14,0),0) &amp; IF(MAX(I12:I14)&gt;0," " &amp; OFFSET(A11,MATCH(MAX(I12:I14),I12:I14,0),0) &amp; " Units",""), " Change Decision Flag")</f>
        <v>#VALUE!</v>
      </c>
      <c r="I6" s="21"/>
      <c r="J6" s="22"/>
    </row>
    <row r="7" spans="1:16" ht="14.4" customHeight="1" x14ac:dyDescent="0.3">
      <c r="A7" t="s">
        <v>19</v>
      </c>
      <c r="B7" t="s">
        <v>21</v>
      </c>
      <c r="C7" t="s">
        <v>34</v>
      </c>
      <c r="D7" t="s">
        <v>35</v>
      </c>
      <c r="E7" t="s">
        <v>23</v>
      </c>
      <c r="F7" t="s">
        <v>22</v>
      </c>
      <c r="H7" s="23"/>
      <c r="I7" s="24"/>
      <c r="J7" s="25"/>
    </row>
    <row r="8" spans="1:16" ht="14.4" customHeight="1" x14ac:dyDescent="0.3">
      <c r="A8" t="s">
        <v>20</v>
      </c>
      <c r="B8" s="3">
        <v>32000</v>
      </c>
      <c r="C8">
        <v>24</v>
      </c>
      <c r="D8">
        <v>6</v>
      </c>
      <c r="E8" s="1">
        <v>1</v>
      </c>
      <c r="F8" s="4">
        <f>B8/(4000*E8)</f>
        <v>8</v>
      </c>
      <c r="H8" s="23"/>
      <c r="I8" s="24"/>
      <c r="J8" s="25"/>
    </row>
    <row r="9" spans="1:16" ht="15" customHeight="1" thickBot="1" x14ac:dyDescent="0.35">
      <c r="H9" s="26"/>
      <c r="I9" s="27"/>
      <c r="J9" s="28"/>
    </row>
    <row r="10" spans="1:16" ht="14.4" customHeight="1" x14ac:dyDescent="0.3">
      <c r="A10" s="29" t="s">
        <v>33</v>
      </c>
      <c r="B10" s="29"/>
      <c r="C10" s="29"/>
      <c r="L10" s="11" t="str">
        <f>RTD("rit2.rtd",,"LAtestNEWS",1)</f>
        <v>LATESTNEWS|1</v>
      </c>
      <c r="M10" s="12"/>
      <c r="N10" s="12"/>
      <c r="O10" s="12"/>
      <c r="P10" s="13"/>
    </row>
    <row r="11" spans="1:16" x14ac:dyDescent="0.3">
      <c r="A11" t="s">
        <v>26</v>
      </c>
      <c r="B11" t="s">
        <v>25</v>
      </c>
      <c r="C11" t="s">
        <v>9</v>
      </c>
      <c r="D11" t="s">
        <v>30</v>
      </c>
      <c r="E11" t="s">
        <v>29</v>
      </c>
      <c r="F11" t="s">
        <v>27</v>
      </c>
      <c r="G11" t="s">
        <v>31</v>
      </c>
      <c r="H11" t="s">
        <v>32</v>
      </c>
      <c r="I11" t="s">
        <v>28</v>
      </c>
      <c r="J11" t="s">
        <v>52</v>
      </c>
      <c r="L11" s="14"/>
      <c r="M11" s="15"/>
      <c r="N11" s="15"/>
      <c r="O11" s="15"/>
      <c r="P11" s="16"/>
    </row>
    <row r="12" spans="1:16" x14ac:dyDescent="0.3">
      <c r="A12">
        <v>4</v>
      </c>
      <c r="B12" s="4">
        <f>F8</f>
        <v>8</v>
      </c>
      <c r="C12" s="4" t="e">
        <f>IF($G$3&gt;=A12*0.5,$H$3,$K$3)/2</f>
        <v>#VALUE!</v>
      </c>
      <c r="D12" s="4">
        <f>IF($G$3&gt;15,-25/(A12/2),0)</f>
        <v>-12.5</v>
      </c>
      <c r="E12" s="4">
        <f>IF($G$2&gt;(20-A12),500/A12,0)</f>
        <v>125</v>
      </c>
      <c r="F12" s="4" t="e">
        <f>SUM(B12:E12)</f>
        <v>#VALUE!</v>
      </c>
      <c r="G12" s="4" t="e">
        <f>$J$2-F12</f>
        <v>#VALUE!</v>
      </c>
      <c r="H12" s="4" t="e">
        <f>$L$2-F12</f>
        <v>#VALUE!</v>
      </c>
      <c r="I12" s="4" t="e">
        <f>MAX(0,G12,H12)*A12*1000</f>
        <v>#VALUE!</v>
      </c>
      <c r="J12" t="e">
        <f>IF(AND(G12&gt;0,G12&gt;H12)," Produce and Sell Market",IF(H12&gt;0,"Produce and Hold","Do Nothing"))</f>
        <v>#VALUE!</v>
      </c>
      <c r="L12" s="14"/>
      <c r="M12" s="15"/>
      <c r="N12" s="15"/>
      <c r="O12" s="15"/>
      <c r="P12" s="16"/>
    </row>
    <row r="13" spans="1:16" x14ac:dyDescent="0.3">
      <c r="A13">
        <v>8</v>
      </c>
      <c r="B13" s="4">
        <f>F8/2</f>
        <v>4</v>
      </c>
      <c r="C13" s="4" t="e">
        <f t="shared" ref="C13:C14" si="0">IF($G$3&gt;=A13*0.5,$H$3,$K$3)/2</f>
        <v>#VALUE!</v>
      </c>
      <c r="D13" s="4">
        <f t="shared" ref="D13:D14" si="1">IF($G$3&gt;15,-25/(A13/2),0)</f>
        <v>-6.25</v>
      </c>
      <c r="E13" s="4">
        <f t="shared" ref="E13:E14" si="2">IF($G$2&gt;(20-A13),500/A13,0)</f>
        <v>62.5</v>
      </c>
      <c r="F13" s="4" t="e">
        <f t="shared" ref="F13:F14" si="3">SUM(B13:E13)</f>
        <v>#VALUE!</v>
      </c>
      <c r="G13" s="4" t="e">
        <f t="shared" ref="G13:G14" si="4">$J$2-F13</f>
        <v>#VALUE!</v>
      </c>
      <c r="H13" s="4" t="e">
        <f>$L$2-F13</f>
        <v>#VALUE!</v>
      </c>
      <c r="I13" s="4" t="e">
        <f t="shared" ref="I13:I14" si="5">MAX(0,G13,H13)*A13*1000</f>
        <v>#VALUE!</v>
      </c>
      <c r="J13" t="e">
        <f t="shared" ref="J13:J14" si="6">IF(AND(G13&gt;0,G13&gt;H13)," Produce and Sell Market",IF(H13&gt;0,"Produce and Hold","Do Nothing"))</f>
        <v>#VALUE!</v>
      </c>
      <c r="L13" s="14"/>
      <c r="M13" s="15"/>
      <c r="N13" s="15"/>
      <c r="O13" s="15"/>
      <c r="P13" s="16"/>
    </row>
    <row r="14" spans="1:16" x14ac:dyDescent="0.3">
      <c r="A14">
        <v>12</v>
      </c>
      <c r="B14" s="4">
        <f>F8/3</f>
        <v>2.6666666666666665</v>
      </c>
      <c r="C14" s="4" t="e">
        <f t="shared" si="0"/>
        <v>#VALUE!</v>
      </c>
      <c r="D14" s="4">
        <f t="shared" si="1"/>
        <v>-4.166666666666667</v>
      </c>
      <c r="E14" s="4">
        <f t="shared" si="2"/>
        <v>41.666666666666664</v>
      </c>
      <c r="F14" s="4" t="e">
        <f t="shared" si="3"/>
        <v>#VALUE!</v>
      </c>
      <c r="G14" s="4" t="e">
        <f t="shared" si="4"/>
        <v>#VALUE!</v>
      </c>
      <c r="H14" s="4" t="e">
        <f>$L$2-F14</f>
        <v>#VALUE!</v>
      </c>
      <c r="I14" s="4" t="e">
        <f t="shared" si="5"/>
        <v>#VALUE!</v>
      </c>
      <c r="J14" t="e">
        <f t="shared" si="6"/>
        <v>#VALUE!</v>
      </c>
      <c r="L14" s="14"/>
      <c r="M14" s="15"/>
      <c r="N14" s="15"/>
      <c r="O14" s="15"/>
      <c r="P14" s="16"/>
    </row>
    <row r="15" spans="1:16" x14ac:dyDescent="0.3">
      <c r="B15" s="4"/>
      <c r="C15" s="4"/>
      <c r="D15" s="4"/>
      <c r="E15" s="4"/>
      <c r="F15" s="4"/>
      <c r="G15" s="4"/>
      <c r="H15" s="4"/>
      <c r="I15" s="4"/>
      <c r="L15" s="14"/>
      <c r="M15" s="15"/>
      <c r="N15" s="15"/>
      <c r="O15" s="15"/>
      <c r="P15" s="16"/>
    </row>
    <row r="16" spans="1:16" x14ac:dyDescent="0.3">
      <c r="L16" s="14"/>
      <c r="M16" s="15"/>
      <c r="N16" s="15"/>
      <c r="O16" s="15"/>
      <c r="P16" s="16"/>
    </row>
    <row r="17" spans="1:16" ht="15" thickBot="1" x14ac:dyDescent="0.35">
      <c r="A17" s="29" t="s">
        <v>37</v>
      </c>
      <c r="B17" s="29"/>
      <c r="C17" s="29"/>
      <c r="L17" s="14"/>
      <c r="M17" s="15"/>
      <c r="N17" s="15"/>
      <c r="O17" s="15"/>
      <c r="P17" s="16"/>
    </row>
    <row r="18" spans="1:16" x14ac:dyDescent="0.3">
      <c r="H18" s="20" t="str">
        <f>IF(AND(H2&lt;J2,J2&gt;L2,G2&gt;0),"Sell " &amp;G2&amp;" Units CL Market"," No Suggestion")</f>
        <v xml:space="preserve"> No Suggestion</v>
      </c>
      <c r="I18" s="21"/>
      <c r="J18" s="22"/>
      <c r="L18" s="14"/>
      <c r="M18" s="15"/>
      <c r="N18" s="15"/>
      <c r="O18" s="15"/>
      <c r="P18" s="16"/>
    </row>
    <row r="19" spans="1:16" x14ac:dyDescent="0.3">
      <c r="H19" s="23"/>
      <c r="I19" s="24"/>
      <c r="J19" s="25"/>
      <c r="L19" s="14"/>
      <c r="M19" s="15"/>
      <c r="N19" s="15"/>
      <c r="O19" s="15"/>
      <c r="P19" s="16"/>
    </row>
    <row r="20" spans="1:16" x14ac:dyDescent="0.3">
      <c r="H20" s="23"/>
      <c r="I20" s="24"/>
      <c r="J20" s="25"/>
      <c r="L20" s="14"/>
      <c r="M20" s="15"/>
      <c r="N20" s="15"/>
      <c r="O20" s="15"/>
      <c r="P20" s="16"/>
    </row>
    <row r="21" spans="1:16" ht="15" thickBot="1" x14ac:dyDescent="0.35">
      <c r="H21" s="26"/>
      <c r="I21" s="27"/>
      <c r="J21" s="28"/>
      <c r="L21" s="17"/>
      <c r="M21" s="18"/>
      <c r="N21" s="18"/>
      <c r="O21" s="18"/>
      <c r="P21" s="19"/>
    </row>
    <row r="24" spans="1:16" ht="15" thickBot="1" x14ac:dyDescent="0.35">
      <c r="A24" s="29" t="s">
        <v>38</v>
      </c>
      <c r="B24" s="29"/>
      <c r="C24" s="29"/>
    </row>
    <row r="25" spans="1:16" x14ac:dyDescent="0.3">
      <c r="H25" s="20" t="e">
        <f>IF(AND(B4&gt;120,F27&gt;0),"Sell " &amp;A27-14&amp;" Units RCA Market"," No Suggestion")</f>
        <v>#VALUE!</v>
      </c>
      <c r="I25" s="21"/>
      <c r="J25" s="22"/>
    </row>
    <row r="26" spans="1:16" x14ac:dyDescent="0.3">
      <c r="A26" t="s">
        <v>39</v>
      </c>
      <c r="B26" t="s">
        <v>40</v>
      </c>
      <c r="C26" t="s">
        <v>41</v>
      </c>
      <c r="D26" t="s">
        <v>42</v>
      </c>
      <c r="E26" t="s">
        <v>43</v>
      </c>
      <c r="F26" t="s">
        <v>28</v>
      </c>
      <c r="H26" s="23"/>
      <c r="I26" s="24"/>
      <c r="J26" s="25"/>
    </row>
    <row r="27" spans="1:16" x14ac:dyDescent="0.3">
      <c r="A27" t="str">
        <f>G3</f>
        <v>RCA|POSITION</v>
      </c>
      <c r="B27">
        <f>IF(A27&gt;14,25,0)</f>
        <v>25</v>
      </c>
      <c r="C27" s="4" t="str">
        <f>H3</f>
        <v>RCA|COST</v>
      </c>
      <c r="D27" s="4" t="e">
        <f>C27-B27</f>
        <v>#VALUE!</v>
      </c>
      <c r="E27" s="4" t="str">
        <f>J3</f>
        <v>RCA|BID</v>
      </c>
      <c r="F27" s="4" t="e">
        <f>MAX(E27-D27,0)</f>
        <v>#VALUE!</v>
      </c>
      <c r="H27" s="23"/>
      <c r="I27" s="24"/>
      <c r="J27" s="25"/>
    </row>
    <row r="28" spans="1:16" ht="15" thickBot="1" x14ac:dyDescent="0.35">
      <c r="H28" s="26"/>
      <c r="I28" s="27"/>
      <c r="J28" s="28"/>
    </row>
  </sheetData>
  <mergeCells count="7">
    <mergeCell ref="L10:P21"/>
    <mergeCell ref="H18:J21"/>
    <mergeCell ref="A24:C24"/>
    <mergeCell ref="H25:J28"/>
    <mergeCell ref="H6:J9"/>
    <mergeCell ref="A10:C10"/>
    <mergeCell ref="A17:C17"/>
  </mergeCells>
  <conditionalFormatting sqref="B2">
    <cfRule type="cellIs" dxfId="2" priority="2" operator="lessThan">
      <formula>0</formula>
    </cfRule>
  </conditionalFormatting>
  <pageMargins left="0.7" right="0.7" top="0.75" bottom="0.75" header="0.3" footer="0.3"/>
  <ignoredErrors>
    <ignoredError sqref="D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E1D3-0DBA-46C6-B708-14B95A768817}">
  <dimension ref="A1:R32"/>
  <sheetViews>
    <sheetView workbookViewId="0">
      <selection activeCell="N19" sqref="N19:R28"/>
    </sheetView>
  </sheetViews>
  <sheetFormatPr defaultColWidth="13.109375" defaultRowHeight="14.4" x14ac:dyDescent="0.3"/>
  <cols>
    <col min="1" max="1" width="14" bestFit="1" customWidth="1"/>
    <col min="3" max="3" width="10.109375" bestFit="1" customWidth="1"/>
    <col min="4" max="4" width="11.6640625" bestFit="1" customWidth="1"/>
    <col min="7" max="7" width="13.21875" bestFit="1" customWidth="1"/>
    <col min="8" max="8" width="10.5546875" bestFit="1" customWidth="1"/>
    <col min="10" max="10" width="14.109375" customWidth="1"/>
    <col min="11" max="11" width="13.21875" customWidth="1"/>
    <col min="12" max="12" width="10.109375" bestFit="1" customWidth="1"/>
  </cols>
  <sheetData>
    <row r="1" spans="1:16" x14ac:dyDescent="0.3">
      <c r="A1" t="s">
        <v>0</v>
      </c>
      <c r="B1" t="str">
        <f>RTD("rit2.rtd",,"TRADERID")</f>
        <v>TRADERID</v>
      </c>
      <c r="F1" t="s">
        <v>24</v>
      </c>
      <c r="G1" t="s">
        <v>12</v>
      </c>
      <c r="H1" t="s">
        <v>18</v>
      </c>
      <c r="I1" t="s">
        <v>11</v>
      </c>
      <c r="J1" t="s">
        <v>13</v>
      </c>
      <c r="K1" t="s">
        <v>14</v>
      </c>
      <c r="L1" t="s">
        <v>17</v>
      </c>
    </row>
    <row r="2" spans="1:16" x14ac:dyDescent="0.3">
      <c r="A2" t="s">
        <v>1</v>
      </c>
      <c r="B2" s="2" t="str">
        <f>RTD("rit2.rtd",,"PL")</f>
        <v>PL</v>
      </c>
      <c r="F2" t="s">
        <v>4</v>
      </c>
      <c r="G2" t="str">
        <f>VLOOKUP($F2,Database!$A$2:$I$8,MATCH(G$1,Database!$A$2:$I$2,0),0)</f>
        <v>CL|POSITION</v>
      </c>
      <c r="H2" t="str">
        <f>VLOOKUP($F2,Database!$A$2:$I$8,MATCH(H$1,Database!$A$2:$I$2,0),0)</f>
        <v>CL|COST</v>
      </c>
      <c r="I2" t="str">
        <f>VLOOKUP($F2,Database!$A$2:$I$8,MATCH(I$1,Database!$A$2:$I$2,0),0)</f>
        <v>CL|LAST</v>
      </c>
      <c r="J2" t="str">
        <f>VLOOKUP($F2,Database!$A$2:$I$8,MATCH(J$1,Database!$A$2:$I$2,0),0)</f>
        <v>CL|BID</v>
      </c>
      <c r="K2" t="str">
        <f>VLOOKUP($F2,Database!$A$2:$I$8,MATCH(K$1,Database!$A$2:$I$2,0),0)</f>
        <v>CL|ASK</v>
      </c>
      <c r="L2">
        <f>VLOOKUP($F2,Database!$A$2:$I$8,MATCH(L$1,Database!$A$2:$I$2,0),0)</f>
        <v>30</v>
      </c>
    </row>
    <row r="3" spans="1:16" x14ac:dyDescent="0.3">
      <c r="A3" t="s">
        <v>44</v>
      </c>
      <c r="B3" t="e">
        <f>960-B4</f>
        <v>#VALUE!</v>
      </c>
      <c r="F3" t="s">
        <v>5</v>
      </c>
      <c r="G3" t="str">
        <f>VLOOKUP($F3,Database!$A$2:$I$8,MATCH(G$1,Database!$A$2:$I$2,0),0)</f>
        <v>HO|POSITION</v>
      </c>
      <c r="H3" t="str">
        <f>VLOOKUP($F3,Database!$A$2:$I$8,MATCH(H$1,Database!$A$2:$I$2,0),0)</f>
        <v>HO|COST</v>
      </c>
      <c r="I3" t="str">
        <f>VLOOKUP($F3,Database!$A$2:$I$8,MATCH(I$1,Database!$A$2:$I$2,0),0)</f>
        <v>HO|LAST</v>
      </c>
      <c r="J3" t="str">
        <f>VLOOKUP($F3,Database!$A$2:$I$8,MATCH(J$1,Database!$A$2:$I$2,0),0)</f>
        <v>HO|BID</v>
      </c>
      <c r="K3" t="str">
        <f>VLOOKUP($F3,Database!$A$2:$I$8,MATCH(K$1,Database!$A$2:$I$2,0),0)</f>
        <v>HO|ASK</v>
      </c>
      <c r="L3" t="str">
        <f>VLOOKUP($F3,Database!$A$2:$I$8,MATCH(L$1,Database!$A$2:$I$2,0),0)</f>
        <v>HO|LAST</v>
      </c>
    </row>
    <row r="4" spans="1:16" x14ac:dyDescent="0.3">
      <c r="A4" t="s">
        <v>2</v>
      </c>
      <c r="B4" t="str">
        <f>RTD("rit2.rtd",,"TIMEREMAINING")</f>
        <v>TIMEREMAINING</v>
      </c>
      <c r="F4" t="s">
        <v>6</v>
      </c>
      <c r="G4" t="str">
        <f>VLOOKUP($F4,Database!$A$2:$I$8,MATCH(G$1,Database!$A$2:$I$2,0),0)</f>
        <v>RB|POSITION</v>
      </c>
      <c r="H4" t="str">
        <f>VLOOKUP($F4,Database!$A$2:$I$8,MATCH(H$1,Database!$A$2:$I$2,0),0)</f>
        <v>RB|COST</v>
      </c>
      <c r="I4" t="str">
        <f>VLOOKUP($F4,Database!$A$2:$I$8,MATCH(I$1,Database!$A$2:$I$2,0),0)</f>
        <v>RB|LAST</v>
      </c>
      <c r="J4" t="str">
        <f>VLOOKUP($F4,Database!$A$2:$I$8,MATCH(J$1,Database!$A$2:$I$2,0),0)</f>
        <v>RB|BID</v>
      </c>
      <c r="K4" t="str">
        <f>VLOOKUP($F4,Database!$A$2:$I$8,MATCH(K$1,Database!$A$2:$I$2,0),0)</f>
        <v>RB|ASK</v>
      </c>
      <c r="L4" t="str">
        <f>VLOOKUP($F4,Database!$A$2:$I$8,MATCH(L$1,Database!$A$2:$I$2,0),0)</f>
        <v>RB|LAST</v>
      </c>
    </row>
    <row r="5" spans="1:16" x14ac:dyDescent="0.3">
      <c r="A5" t="s">
        <v>3</v>
      </c>
      <c r="B5" t="str">
        <f>RTD("rit2.rtd",,"PERIOD")</f>
        <v>PERIOD</v>
      </c>
      <c r="F5" t="s">
        <v>9</v>
      </c>
      <c r="G5" t="str">
        <f>VLOOKUP($F5,Database!$A$2:$I$8,MATCH(G$1,Database!$A$2:$I$2,0),0)</f>
        <v>RCA|POSITION</v>
      </c>
      <c r="H5" s="10" t="str">
        <f>VLOOKUP($F5,Database!$A$2:$I$8,MATCH(H$1,Database!$A$2:$I$2,0),0)</f>
        <v>RCA|COST</v>
      </c>
      <c r="I5" t="str">
        <f>VLOOKUP($F5,Database!$A$2:$I$8,MATCH(I$1,Database!$A$2:$I$2,0),0)</f>
        <v>RCA|LAST</v>
      </c>
      <c r="J5" t="str">
        <f>VLOOKUP($F5,Database!$A$2:$I$8,MATCH(J$1,Database!$A$2:$I$2,0),0)</f>
        <v>RCA|BID</v>
      </c>
      <c r="K5" t="str">
        <f>VLOOKUP($F5,Database!$A$2:$I$8,MATCH(K$1,Database!$A$2:$I$2,0),0)</f>
        <v>RCA|ASK</v>
      </c>
      <c r="L5">
        <f>VLOOKUP($F5,Database!$A$2:$I$8,MATCH(L$1,Database!$A$2:$I$2,0),0)</f>
        <v>50</v>
      </c>
    </row>
    <row r="6" spans="1:16" ht="15" thickBot="1" x14ac:dyDescent="0.35"/>
    <row r="7" spans="1:16" x14ac:dyDescent="0.3">
      <c r="A7" t="s">
        <v>19</v>
      </c>
      <c r="B7" t="s">
        <v>21</v>
      </c>
      <c r="C7" t="s">
        <v>34</v>
      </c>
      <c r="D7" t="s">
        <v>47</v>
      </c>
      <c r="E7" t="s">
        <v>22</v>
      </c>
      <c r="N7" s="30" t="e">
        <f>IF(MOD(B3,120)&lt;20," Check Heating Oil News", "Did you check Heating Oil News?")</f>
        <v>#VALUE!</v>
      </c>
      <c r="O7" s="31"/>
      <c r="P7" s="32"/>
    </row>
    <row r="8" spans="1:16" x14ac:dyDescent="0.3">
      <c r="A8" t="s">
        <v>45</v>
      </c>
      <c r="B8" s="3">
        <v>140000</v>
      </c>
      <c r="C8">
        <v>120</v>
      </c>
      <c r="D8">
        <v>84</v>
      </c>
      <c r="E8" s="4">
        <f>B8/4000</f>
        <v>35</v>
      </c>
      <c r="N8" s="33"/>
      <c r="O8" s="34"/>
      <c r="P8" s="35"/>
    </row>
    <row r="9" spans="1:16" ht="14.4" customHeight="1" x14ac:dyDescent="0.3">
      <c r="A9" t="s">
        <v>46</v>
      </c>
      <c r="B9" s="3">
        <v>320000</v>
      </c>
      <c r="C9">
        <v>120</v>
      </c>
      <c r="D9">
        <v>108</v>
      </c>
      <c r="E9" s="4">
        <f>B9/8000</f>
        <v>40</v>
      </c>
      <c r="N9" s="33"/>
      <c r="O9" s="34"/>
      <c r="P9" s="35"/>
    </row>
    <row r="10" spans="1:16" ht="14.4" customHeight="1" x14ac:dyDescent="0.3">
      <c r="N10" s="33"/>
      <c r="O10" s="34"/>
      <c r="P10" s="35"/>
    </row>
    <row r="11" spans="1:16" ht="14.4" customHeight="1" x14ac:dyDescent="0.3">
      <c r="A11" s="29" t="s">
        <v>33</v>
      </c>
      <c r="B11" s="29"/>
      <c r="C11" s="29"/>
      <c r="N11" s="33"/>
      <c r="O11" s="34"/>
      <c r="P11" s="35"/>
    </row>
    <row r="12" spans="1:16" ht="14.4" customHeight="1" x14ac:dyDescent="0.3">
      <c r="A12" t="s">
        <v>48</v>
      </c>
      <c r="B12" t="s">
        <v>26</v>
      </c>
      <c r="C12" t="s">
        <v>25</v>
      </c>
      <c r="D12" t="s">
        <v>51</v>
      </c>
      <c r="E12" t="s">
        <v>9</v>
      </c>
      <c r="F12" t="s">
        <v>30</v>
      </c>
      <c r="G12" t="s">
        <v>27</v>
      </c>
      <c r="H12" t="s">
        <v>31</v>
      </c>
      <c r="I12" t="s">
        <v>53</v>
      </c>
      <c r="J12" s="40" t="s">
        <v>52</v>
      </c>
      <c r="K12" s="40"/>
      <c r="N12" s="33"/>
      <c r="O12" s="34"/>
      <c r="P12" s="35"/>
    </row>
    <row r="13" spans="1:16" ht="21" customHeight="1" x14ac:dyDescent="0.3">
      <c r="A13" s="5" t="s">
        <v>49</v>
      </c>
      <c r="B13" s="5">
        <v>4</v>
      </c>
      <c r="C13" s="6">
        <f>E8</f>
        <v>35</v>
      </c>
      <c r="D13" s="6" t="str">
        <f>IF(B13&gt;$G$2,$K$2,$H$2)</f>
        <v>CL|COST</v>
      </c>
      <c r="E13" s="6" t="str">
        <f>IF($G$5&gt;=B13,$H$5,$K$5)</f>
        <v>RCA|COST</v>
      </c>
      <c r="F13" s="6">
        <f>IF($G$5&gt;15,-25/(B13),0)</f>
        <v>-6.25</v>
      </c>
      <c r="G13" s="6">
        <f>SUM(C13:F13)</f>
        <v>28.75</v>
      </c>
      <c r="H13" s="6" t="e">
        <f>AVERAGE(J3:J4)*42-G13</f>
        <v>#DIV/0!</v>
      </c>
      <c r="I13" s="4" t="e">
        <f>MAX(H13*1000*B13,0)</f>
        <v>#DIV/0!</v>
      </c>
      <c r="J13" s="39" t="e">
        <f>IF(I13&gt;0,"Run " &amp; A13 &amp; "  Refinery", " Do Nothing here")</f>
        <v>#DIV/0!</v>
      </c>
      <c r="K13" s="39"/>
      <c r="N13" s="33"/>
      <c r="O13" s="34"/>
      <c r="P13" s="35"/>
    </row>
    <row r="14" spans="1:16" ht="21" customHeight="1" x14ac:dyDescent="0.3">
      <c r="A14" s="5" t="s">
        <v>50</v>
      </c>
      <c r="B14" s="5">
        <v>8</v>
      </c>
      <c r="C14" s="6">
        <f>E9</f>
        <v>40</v>
      </c>
      <c r="D14" s="6" t="str">
        <f>IF(B14&gt;$G$2,$K$2,$H$2)</f>
        <v>CL|COST</v>
      </c>
      <c r="E14" s="6" t="e">
        <f>IF($G$5&gt;B14*1.5,$H$5,$K$5)*1.5</f>
        <v>#VALUE!</v>
      </c>
      <c r="F14" s="6">
        <f>IF($G$5&gt;15,-25/(B14/2),0)</f>
        <v>-6.25</v>
      </c>
      <c r="G14" s="6" t="e">
        <f>SUM(C14:F14)</f>
        <v>#VALUE!</v>
      </c>
      <c r="H14" s="6" t="e">
        <f>AVERAGE(J4:J5)*42-G14</f>
        <v>#DIV/0!</v>
      </c>
      <c r="I14" s="4" t="e">
        <f>MAX(H14*1000*B14,0)</f>
        <v>#DIV/0!</v>
      </c>
      <c r="J14" s="39" t="e">
        <f>IF(AND(I14&gt;0,G3&gt;4,G4&gt;4,I13&gt;0),"Run " &amp; A14 &amp; "  Refinery", " Do Nothing here")</f>
        <v>#DIV/0!</v>
      </c>
      <c r="K14" s="39"/>
      <c r="N14" s="33"/>
      <c r="O14" s="34"/>
      <c r="P14" s="35"/>
    </row>
    <row r="15" spans="1:16" ht="14.4" customHeight="1" x14ac:dyDescent="0.3">
      <c r="B15" s="4"/>
      <c r="C15" s="4"/>
      <c r="D15" s="4"/>
      <c r="E15" s="4"/>
      <c r="F15" s="4"/>
      <c r="G15" s="4"/>
      <c r="H15" s="4"/>
      <c r="I15" s="4"/>
      <c r="N15" s="33"/>
      <c r="O15" s="34"/>
      <c r="P15" s="35"/>
    </row>
    <row r="16" spans="1:16" ht="14.4" customHeight="1" thickBot="1" x14ac:dyDescent="0.35">
      <c r="N16" s="36"/>
      <c r="O16" s="37"/>
      <c r="P16" s="38"/>
    </row>
    <row r="18" spans="1:18" x14ac:dyDescent="0.3">
      <c r="A18" s="29" t="s">
        <v>54</v>
      </c>
      <c r="B18" s="29"/>
      <c r="C18" s="29"/>
    </row>
    <row r="19" spans="1:18" ht="14.4" customHeight="1" x14ac:dyDescent="0.3">
      <c r="F19" s="8"/>
      <c r="N19" s="15" t="str">
        <f>RTD("rit2.rtd",,"LAtestNEWS",1)</f>
        <v>LATESTNEWS|1</v>
      </c>
      <c r="O19" s="15"/>
      <c r="P19" s="15"/>
      <c r="Q19" s="15"/>
      <c r="R19" s="15"/>
    </row>
    <row r="20" spans="1:18" x14ac:dyDescent="0.3">
      <c r="A20" t="s">
        <v>62</v>
      </c>
      <c r="B20" t="s">
        <v>57</v>
      </c>
      <c r="C20" t="s">
        <v>56</v>
      </c>
      <c r="D20" t="s">
        <v>58</v>
      </c>
      <c r="E20" t="s">
        <v>59</v>
      </c>
      <c r="F20" t="s">
        <v>61</v>
      </c>
      <c r="G20" t="s">
        <v>60</v>
      </c>
      <c r="H20" t="s">
        <v>55</v>
      </c>
      <c r="I20" t="s">
        <v>63</v>
      </c>
      <c r="N20" s="15"/>
      <c r="O20" s="15"/>
      <c r="P20" s="15"/>
      <c r="Q20" s="15"/>
      <c r="R20" s="15"/>
    </row>
    <row r="21" spans="1:18" x14ac:dyDescent="0.3">
      <c r="A21" s="9">
        <v>4.2300000000000004</v>
      </c>
      <c r="B21" s="7">
        <v>-0.09</v>
      </c>
      <c r="C21" s="4">
        <f>A21*(1+B21)</f>
        <v>3.8493000000000004</v>
      </c>
      <c r="D21" s="1">
        <v>7</v>
      </c>
      <c r="E21" s="1">
        <v>7</v>
      </c>
      <c r="F21" s="8">
        <f>D21-E21</f>
        <v>0</v>
      </c>
      <c r="G21" s="1">
        <v>7</v>
      </c>
      <c r="H21" s="4">
        <f>C21+F21/G21</f>
        <v>3.8493000000000004</v>
      </c>
      <c r="I21" s="4" t="str">
        <f>I3</f>
        <v>HO|LAST</v>
      </c>
      <c r="N21" s="15"/>
      <c r="O21" s="15"/>
      <c r="P21" s="15"/>
      <c r="Q21" s="15"/>
      <c r="R21" s="15"/>
    </row>
    <row r="22" spans="1:18" ht="15" thickBot="1" x14ac:dyDescent="0.35">
      <c r="N22" s="15"/>
      <c r="O22" s="15"/>
      <c r="P22" s="15"/>
      <c r="Q22" s="15"/>
      <c r="R22" s="15"/>
    </row>
    <row r="23" spans="1:18" ht="14.4" customHeight="1" x14ac:dyDescent="0.3">
      <c r="B23" s="41" t="str">
        <f xml:space="preserve"> "Heating Oil Target $" &amp; ROUND(H21,2)</f>
        <v>Heating Oil Target $3.85</v>
      </c>
      <c r="C23" s="42"/>
      <c r="D23" s="42"/>
      <c r="E23" s="42"/>
      <c r="F23" s="42"/>
      <c r="G23" s="42"/>
      <c r="H23" s="43"/>
      <c r="J23" s="20" t="str">
        <f>IF(I21&lt;H21,"Buy",IF(G3&gt;0," Sell"," Do Nothing"))</f>
        <v xml:space="preserve"> Sell</v>
      </c>
      <c r="K23" s="21"/>
      <c r="L23" s="22"/>
      <c r="N23" s="15"/>
      <c r="O23" s="15"/>
      <c r="P23" s="15"/>
      <c r="Q23" s="15"/>
      <c r="R23" s="15"/>
    </row>
    <row r="24" spans="1:18" ht="14.4" customHeight="1" x14ac:dyDescent="0.3">
      <c r="B24" s="44"/>
      <c r="C24" s="45"/>
      <c r="D24" s="45"/>
      <c r="E24" s="45"/>
      <c r="F24" s="45"/>
      <c r="G24" s="45"/>
      <c r="H24" s="46"/>
      <c r="J24" s="23"/>
      <c r="K24" s="24"/>
      <c r="L24" s="25"/>
      <c r="N24" s="15"/>
      <c r="O24" s="15"/>
      <c r="P24" s="15"/>
      <c r="Q24" s="15"/>
      <c r="R24" s="15"/>
    </row>
    <row r="25" spans="1:18" ht="14.4" customHeight="1" x14ac:dyDescent="0.3">
      <c r="B25" s="44"/>
      <c r="C25" s="45"/>
      <c r="D25" s="45"/>
      <c r="E25" s="45"/>
      <c r="F25" s="45"/>
      <c r="G25" s="45"/>
      <c r="H25" s="46"/>
      <c r="J25" s="23"/>
      <c r="K25" s="24"/>
      <c r="L25" s="25"/>
      <c r="N25" s="15"/>
      <c r="O25" s="15"/>
      <c r="P25" s="15"/>
      <c r="Q25" s="15"/>
      <c r="R25" s="15"/>
    </row>
    <row r="26" spans="1:18" ht="15" customHeight="1" thickBot="1" x14ac:dyDescent="0.35">
      <c r="B26" s="47"/>
      <c r="C26" s="48"/>
      <c r="D26" s="48"/>
      <c r="E26" s="48"/>
      <c r="F26" s="48"/>
      <c r="G26" s="48"/>
      <c r="H26" s="49"/>
      <c r="J26" s="26"/>
      <c r="K26" s="27"/>
      <c r="L26" s="28"/>
      <c r="N26" s="15"/>
      <c r="O26" s="15"/>
      <c r="P26" s="15"/>
      <c r="Q26" s="15"/>
      <c r="R26" s="15"/>
    </row>
    <row r="27" spans="1:18" x14ac:dyDescent="0.3">
      <c r="N27" s="15"/>
      <c r="O27" s="15"/>
      <c r="P27" s="15"/>
      <c r="Q27" s="15"/>
      <c r="R27" s="15"/>
    </row>
    <row r="28" spans="1:18" ht="15" thickBot="1" x14ac:dyDescent="0.35">
      <c r="N28" s="15"/>
      <c r="O28" s="15"/>
      <c r="P28" s="15"/>
      <c r="Q28" s="15"/>
      <c r="R28" s="15"/>
    </row>
    <row r="29" spans="1:18" x14ac:dyDescent="0.3">
      <c r="A29" s="29" t="s">
        <v>38</v>
      </c>
      <c r="B29" s="29"/>
      <c r="C29" s="29"/>
      <c r="J29" s="20" t="e">
        <f>IF(AND(B9&gt;120,F32&gt;0),"Sell " &amp;A32-14&amp;" Units RCA Market"," No Suggestion")</f>
        <v>#VALUE!</v>
      </c>
      <c r="K29" s="21"/>
      <c r="L29" s="22"/>
    </row>
    <row r="30" spans="1:18" x14ac:dyDescent="0.3">
      <c r="J30" s="23"/>
      <c r="K30" s="24"/>
      <c r="L30" s="25"/>
    </row>
    <row r="31" spans="1:18" x14ac:dyDescent="0.3">
      <c r="A31" t="s">
        <v>39</v>
      </c>
      <c r="B31" t="s">
        <v>40</v>
      </c>
      <c r="C31" t="s">
        <v>41</v>
      </c>
      <c r="D31" t="s">
        <v>42</v>
      </c>
      <c r="E31" t="s">
        <v>43</v>
      </c>
      <c r="F31" t="s">
        <v>28</v>
      </c>
      <c r="J31" s="23"/>
      <c r="K31" s="24"/>
      <c r="L31" s="25"/>
    </row>
    <row r="32" spans="1:18" ht="15" thickBot="1" x14ac:dyDescent="0.35">
      <c r="A32" t="str">
        <f>G5</f>
        <v>RCA|POSITION</v>
      </c>
      <c r="B32">
        <f>IF(A32&gt;14,25,0)</f>
        <v>25</v>
      </c>
      <c r="C32" s="4" t="str">
        <f>H5</f>
        <v>RCA|COST</v>
      </c>
      <c r="D32" s="4" t="e">
        <f>C32-B32</f>
        <v>#VALUE!</v>
      </c>
      <c r="E32" s="4" t="str">
        <f>J5</f>
        <v>RCA|BID</v>
      </c>
      <c r="F32" s="4" t="e">
        <f>MAX(E32-D32,0)</f>
        <v>#VALUE!</v>
      </c>
      <c r="J32" s="26"/>
      <c r="K32" s="27"/>
      <c r="L32" s="28"/>
    </row>
  </sheetData>
  <mergeCells count="11">
    <mergeCell ref="A29:C29"/>
    <mergeCell ref="J29:L32"/>
    <mergeCell ref="A18:C18"/>
    <mergeCell ref="B23:H26"/>
    <mergeCell ref="J23:L26"/>
    <mergeCell ref="N19:R28"/>
    <mergeCell ref="N7:P16"/>
    <mergeCell ref="A11:C11"/>
    <mergeCell ref="J13:K13"/>
    <mergeCell ref="J12:K12"/>
    <mergeCell ref="J14:K14"/>
  </mergeCells>
  <conditionalFormatting sqref="B2">
    <cfRule type="cellIs" dxfId="1" priority="3" operator="lessThan">
      <formula>0</formula>
    </cfRule>
  </conditionalFormatting>
  <pageMargins left="0.7" right="0.7" top="0.75" bottom="0.75" header="0.3" footer="0.3"/>
  <ignoredErrors>
    <ignoredError sqref="D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2EB6-3246-4235-B04D-C8254F896311}">
  <dimension ref="A1:F18"/>
  <sheetViews>
    <sheetView tabSelected="1" workbookViewId="0">
      <selection activeCell="B9" sqref="B9:F18"/>
    </sheetView>
  </sheetViews>
  <sheetFormatPr defaultRowHeight="14.4" x14ac:dyDescent="0.3"/>
  <cols>
    <col min="1" max="1" width="14" bestFit="1" customWidth="1"/>
    <col min="2" max="2" width="10.109375" bestFit="1" customWidth="1"/>
  </cols>
  <sheetData>
    <row r="1" spans="1:6" x14ac:dyDescent="0.3">
      <c r="A1" t="s">
        <v>0</v>
      </c>
      <c r="B1" t="str">
        <f>RTD("rit2.rtd",,"TRADERID")</f>
        <v>TRADERID</v>
      </c>
    </row>
    <row r="2" spans="1:6" x14ac:dyDescent="0.3">
      <c r="A2" t="s">
        <v>1</v>
      </c>
      <c r="B2" s="2" t="str">
        <f>RTD("rit2.rtd",,"PL")</f>
        <v>PL</v>
      </c>
    </row>
    <row r="3" spans="1:6" x14ac:dyDescent="0.3">
      <c r="A3" t="s">
        <v>44</v>
      </c>
      <c r="B3" t="e">
        <f>960-B4</f>
        <v>#VALUE!</v>
      </c>
    </row>
    <row r="4" spans="1:6" x14ac:dyDescent="0.3">
      <c r="A4" t="s">
        <v>2</v>
      </c>
      <c r="B4" t="str">
        <f>RTD("rit2.rtd",,"TIMEREMAINING")</f>
        <v>TIMEREMAINING</v>
      </c>
    </row>
    <row r="5" spans="1:6" x14ac:dyDescent="0.3">
      <c r="A5" t="s">
        <v>3</v>
      </c>
      <c r="B5" t="str">
        <f>RTD("rit2.rtd",,"PERIOD")</f>
        <v>PERIOD</v>
      </c>
    </row>
    <row r="9" spans="1:6" x14ac:dyDescent="0.3">
      <c r="B9" s="15" t="str">
        <f>RTD("rit2.rtd",,"LAtestNEWS",1)</f>
        <v>LATESTNEWS|1</v>
      </c>
      <c r="C9" s="15"/>
      <c r="D9" s="15"/>
      <c r="E9" s="15"/>
      <c r="F9" s="15"/>
    </row>
    <row r="10" spans="1:6" x14ac:dyDescent="0.3">
      <c r="B10" s="15"/>
      <c r="C10" s="15"/>
      <c r="D10" s="15"/>
      <c r="E10" s="15"/>
      <c r="F10" s="15"/>
    </row>
    <row r="11" spans="1:6" x14ac:dyDescent="0.3">
      <c r="B11" s="15"/>
      <c r="C11" s="15"/>
      <c r="D11" s="15"/>
      <c r="E11" s="15"/>
      <c r="F11" s="15"/>
    </row>
    <row r="12" spans="1:6" x14ac:dyDescent="0.3">
      <c r="B12" s="15"/>
      <c r="C12" s="15"/>
      <c r="D12" s="15"/>
      <c r="E12" s="15"/>
      <c r="F12" s="15"/>
    </row>
    <row r="13" spans="1:6" x14ac:dyDescent="0.3">
      <c r="B13" s="15"/>
      <c r="C13" s="15"/>
      <c r="D13" s="15"/>
      <c r="E13" s="15"/>
      <c r="F13" s="15"/>
    </row>
    <row r="14" spans="1:6" x14ac:dyDescent="0.3">
      <c r="B14" s="15"/>
      <c r="C14" s="15"/>
      <c r="D14" s="15"/>
      <c r="E14" s="15"/>
      <c r="F14" s="15"/>
    </row>
    <row r="15" spans="1:6" x14ac:dyDescent="0.3">
      <c r="B15" s="15"/>
      <c r="C15" s="15"/>
      <c r="D15" s="15"/>
      <c r="E15" s="15"/>
      <c r="F15" s="15"/>
    </row>
    <row r="16" spans="1:6" x14ac:dyDescent="0.3">
      <c r="B16" s="15"/>
      <c r="C16" s="15"/>
      <c r="D16" s="15"/>
      <c r="E16" s="15"/>
      <c r="F16" s="15"/>
    </row>
    <row r="17" spans="2:6" x14ac:dyDescent="0.3">
      <c r="B17" s="15"/>
      <c r="C17" s="15"/>
      <c r="D17" s="15"/>
      <c r="E17" s="15"/>
      <c r="F17" s="15"/>
    </row>
    <row r="18" spans="2:6" x14ac:dyDescent="0.3">
      <c r="B18" s="15"/>
      <c r="C18" s="15"/>
      <c r="D18" s="15"/>
      <c r="E18" s="15"/>
      <c r="F18" s="15"/>
    </row>
  </sheetData>
  <mergeCells count="1">
    <mergeCell ref="B9:F18"/>
  </mergeCells>
  <conditionalFormatting sqref="B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Producer</vt:lpstr>
      <vt:lpstr>Refiner</vt:lpstr>
      <vt:lpstr>Trader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2020-02-17T21:17:09Z</dcterms:created>
  <dcterms:modified xsi:type="dcterms:W3CDTF">2020-02-21T04:07:02Z</dcterms:modified>
</cp:coreProperties>
</file>