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hygor_vinicius_petrobras_com_br/Documents/Documentos/GitHub/Trabalho_AEPP/"/>
    </mc:Choice>
  </mc:AlternateContent>
  <xr:revisionPtr revIDLastSave="694" documentId="11_F25DC773A252ABDACC104873415D5E145ADE58F9" xr6:coauthVersionLast="47" xr6:coauthVersionMax="47" xr10:uidLastSave="{804B217F-DBB9-4CE4-A359-778261EF2D8E}"/>
  <bookViews>
    <workbookView xWindow="-110" yWindow="-110" windowWidth="19420" windowHeight="10300" xr2:uid="{00000000-000D-0000-FFFF-FFFF00000000}"/>
  </bookViews>
  <sheets>
    <sheet name="Cronograma_Perfuração" sheetId="1" r:id="rId1"/>
    <sheet name="Tempo de Construção do Poço" sheetId="6" r:id="rId2"/>
    <sheet name="Produtores" sheetId="3" r:id="rId3"/>
    <sheet name="Injetor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E3" i="3"/>
  <c r="E2" i="3"/>
  <c r="L14" i="6"/>
  <c r="N4" i="6"/>
  <c r="N5" i="6"/>
  <c r="N6" i="6"/>
  <c r="N7" i="6"/>
  <c r="L15" i="6"/>
  <c r="L16" i="6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4" i="1"/>
  <c r="C26" i="1"/>
  <c r="C27" i="1"/>
  <c r="C28" i="1"/>
  <c r="C29" i="1"/>
  <c r="C30" i="1"/>
  <c r="E16" i="3"/>
  <c r="F16" i="3" s="1"/>
  <c r="E15" i="3"/>
  <c r="F15" i="3"/>
  <c r="E14" i="3"/>
  <c r="F14" i="3"/>
  <c r="E13" i="3"/>
  <c r="F13" i="3" s="1"/>
  <c r="E12" i="3"/>
  <c r="F12" i="3" s="1"/>
  <c r="E11" i="3"/>
  <c r="F11" i="3"/>
  <c r="E10" i="3"/>
  <c r="F10" i="3"/>
  <c r="E9" i="3"/>
  <c r="F9" i="3"/>
  <c r="E8" i="3"/>
  <c r="F8" i="3" s="1"/>
  <c r="E7" i="3"/>
  <c r="F7" i="3" s="1"/>
  <c r="E6" i="3"/>
  <c r="F6" i="3" s="1"/>
  <c r="E5" i="3"/>
  <c r="F5" i="3" s="1"/>
  <c r="E4" i="3"/>
  <c r="F4" i="3"/>
  <c r="F3" i="3"/>
  <c r="C4" i="1" s="1"/>
  <c r="F2" i="3"/>
  <c r="I7" i="6" s="1"/>
  <c r="E15" i="2"/>
  <c r="F15" i="2" s="1"/>
  <c r="E14" i="2"/>
  <c r="F14" i="2" s="1"/>
  <c r="E13" i="2"/>
  <c r="F13" i="2" s="1"/>
  <c r="E12" i="2"/>
  <c r="F12" i="2"/>
  <c r="E11" i="2"/>
  <c r="F11" i="2"/>
  <c r="E10" i="2"/>
  <c r="F10" i="2"/>
  <c r="E9" i="2"/>
  <c r="F9" i="2"/>
  <c r="E8" i="2"/>
  <c r="F8" i="2" s="1"/>
  <c r="E7" i="2"/>
  <c r="F7" i="2" s="1"/>
  <c r="E6" i="2"/>
  <c r="F6" i="2" s="1"/>
  <c r="E5" i="2"/>
  <c r="F5" i="2"/>
  <c r="E4" i="2"/>
  <c r="F4" i="2"/>
  <c r="E3" i="2"/>
  <c r="F3" i="2" s="1"/>
  <c r="E2" i="2"/>
  <c r="F2" i="2" s="1"/>
  <c r="L10" i="6" l="1"/>
  <c r="L11" i="6" s="1"/>
  <c r="I6" i="6"/>
  <c r="L21" i="6" s="1"/>
  <c r="I5" i="6"/>
  <c r="L20" i="6" s="1"/>
  <c r="I4" i="6"/>
  <c r="L19" i="6" s="1"/>
  <c r="N8" i="6"/>
  <c r="L22" i="6"/>
  <c r="E65" i="6" l="1"/>
  <c r="F66" i="6" s="1"/>
  <c r="E73" i="6"/>
  <c r="F74" i="6" s="1"/>
  <c r="E69" i="6"/>
  <c r="F70" i="6" s="1"/>
  <c r="E62" i="6"/>
  <c r="E74" i="6"/>
  <c r="E66" i="6"/>
  <c r="E70" i="6"/>
  <c r="E61" i="6"/>
  <c r="F62" i="6" s="1"/>
  <c r="L24" i="6"/>
  <c r="L25" i="6" l="1"/>
  <c r="L27" i="6"/>
  <c r="I13" i="6"/>
  <c r="L28" i="6" l="1"/>
  <c r="L30" i="6"/>
  <c r="L33" i="6" s="1"/>
  <c r="L31" i="6" l="1"/>
  <c r="L34" i="6" s="1"/>
  <c r="D2" i="1" l="1"/>
  <c r="D27" i="1" s="1"/>
  <c r="I11" i="6"/>
  <c r="D30" i="1" l="1"/>
  <c r="D10" i="1"/>
  <c r="D19" i="1"/>
  <c r="D6" i="1"/>
  <c r="F2" i="1"/>
  <c r="F30" i="1" s="1"/>
  <c r="D25" i="1"/>
  <c r="D12" i="1"/>
  <c r="D26" i="1"/>
  <c r="D7" i="1"/>
  <c r="D24" i="1"/>
  <c r="D23" i="1"/>
  <c r="D3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D17" i="1"/>
  <c r="D22" i="1"/>
  <c r="D5" i="1"/>
  <c r="H2" i="1"/>
  <c r="H3" i="1" s="1"/>
  <c r="I3" i="1" s="1"/>
  <c r="D16" i="1"/>
  <c r="D21" i="1"/>
  <c r="D4" i="1"/>
  <c r="D11" i="1"/>
  <c r="D8" i="1"/>
  <c r="D15" i="1"/>
  <c r="D18" i="1"/>
  <c r="D14" i="1"/>
  <c r="D13" i="1"/>
  <c r="D28" i="1"/>
  <c r="D29" i="1"/>
  <c r="D9" i="1"/>
  <c r="D20" i="1"/>
  <c r="F29" i="1"/>
  <c r="F12" i="1"/>
  <c r="F16" i="1"/>
  <c r="F6" i="1"/>
  <c r="F26" i="1"/>
  <c r="F21" i="1"/>
  <c r="H28" i="1"/>
  <c r="H30" i="1"/>
  <c r="H27" i="1"/>
  <c r="H24" i="1"/>
  <c r="H13" i="1"/>
  <c r="H25" i="1"/>
  <c r="H21" i="1"/>
  <c r="H10" i="1"/>
  <c r="H6" i="1"/>
  <c r="H5" i="1"/>
  <c r="H17" i="1"/>
  <c r="H7" i="1"/>
  <c r="H15" i="1"/>
  <c r="H20" i="1"/>
  <c r="H19" i="1"/>
  <c r="H14" i="1"/>
  <c r="H22" i="1"/>
  <c r="H26" i="1"/>
  <c r="H12" i="1"/>
  <c r="H29" i="1"/>
  <c r="H23" i="1"/>
  <c r="H18" i="1"/>
  <c r="H4" i="1"/>
  <c r="H9" i="1"/>
  <c r="H8" i="1" l="1"/>
  <c r="H11" i="1"/>
  <c r="H16" i="1"/>
  <c r="F22" i="1"/>
  <c r="F18" i="1"/>
  <c r="F10" i="1"/>
  <c r="F25" i="1"/>
  <c r="F5" i="1"/>
  <c r="F15" i="1"/>
  <c r="F4" i="1"/>
  <c r="F24" i="1"/>
  <c r="F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F19" i="1"/>
  <c r="F7" i="1"/>
  <c r="F13" i="1"/>
  <c r="F27" i="1"/>
  <c r="F11" i="1"/>
  <c r="F28" i="1"/>
  <c r="F9" i="1"/>
  <c r="F8" i="1"/>
  <c r="F14" i="1"/>
  <c r="F23" i="1"/>
  <c r="F17" i="1"/>
  <c r="F20" i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</calcChain>
</file>

<file path=xl/sharedStrings.xml><?xml version="1.0" encoding="utf-8"?>
<sst xmlns="http://schemas.openxmlformats.org/spreadsheetml/2006/main" count="134" uniqueCount="96">
  <si>
    <t>Poço</t>
  </si>
  <si>
    <t>Seq</t>
  </si>
  <si>
    <t>Comprimento + LDA</t>
  </si>
  <si>
    <t xml:space="preserve"> Modelo CAP - BASE (dias)</t>
  </si>
  <si>
    <t xml:space="preserve"> Modelo CAP - Down (dias)</t>
  </si>
  <si>
    <t>1º Óleo - Down</t>
  </si>
  <si>
    <t xml:space="preserve"> Modelo CAP - Up (dias)</t>
  </si>
  <si>
    <t>1º Óleo - Up</t>
  </si>
  <si>
    <t>P1</t>
  </si>
  <si>
    <t>I1</t>
  </si>
  <si>
    <t>P2</t>
  </si>
  <si>
    <t>I2</t>
  </si>
  <si>
    <t>P3</t>
  </si>
  <si>
    <t>I3</t>
  </si>
  <si>
    <t>P4</t>
  </si>
  <si>
    <t>I4</t>
  </si>
  <si>
    <t>P5</t>
  </si>
  <si>
    <t>I5</t>
  </si>
  <si>
    <t>P6</t>
  </si>
  <si>
    <t>I6</t>
  </si>
  <si>
    <t>P7</t>
  </si>
  <si>
    <t>I7</t>
  </si>
  <si>
    <t>P8</t>
  </si>
  <si>
    <t>I8</t>
  </si>
  <si>
    <t>P9</t>
  </si>
  <si>
    <t>I9</t>
  </si>
  <si>
    <t>P10</t>
  </si>
  <si>
    <t>I10</t>
  </si>
  <si>
    <t>P11</t>
  </si>
  <si>
    <t>I11</t>
  </si>
  <si>
    <t>P12</t>
  </si>
  <si>
    <t>I12</t>
  </si>
  <si>
    <t>P13</t>
  </si>
  <si>
    <t>I13</t>
  </si>
  <si>
    <t>P14</t>
  </si>
  <si>
    <t>I14</t>
  </si>
  <si>
    <t>P15</t>
  </si>
  <si>
    <t>Entradas (Profundidades em Measured Depth):</t>
  </si>
  <si>
    <t>Custo de broca:</t>
  </si>
  <si>
    <t>LDA + Air Gap:</t>
  </si>
  <si>
    <t>Diâmetro (Bit Size)</t>
  </si>
  <si>
    <t>Valor Unitário</t>
  </si>
  <si>
    <t>Numero de Brocas</t>
  </si>
  <si>
    <t>Valor Total</t>
  </si>
  <si>
    <t>Profundidade CSG-20in:</t>
  </si>
  <si>
    <t>26in</t>
  </si>
  <si>
    <t>Profundidade CSG-13.375in:</t>
  </si>
  <si>
    <t>17.5in</t>
  </si>
  <si>
    <t>Profundidade CSG-9.625in:</t>
  </si>
  <si>
    <t>12.25in</t>
  </si>
  <si>
    <t>Profundidade CSG-7in:</t>
  </si>
  <si>
    <t>8.5in</t>
  </si>
  <si>
    <t>Cb</t>
  </si>
  <si>
    <t>Cr (diária de sonda, página 28):</t>
  </si>
  <si>
    <t>Tempo de Broca em atividade (em horas)</t>
  </si>
  <si>
    <t>Custo total da sonda</t>
  </si>
  <si>
    <t>Tempo de Broca em atividade (em dias)</t>
  </si>
  <si>
    <t>Cf (custo por metro perfurado)</t>
  </si>
  <si>
    <t>Tempo de circulação (Broca parada)</t>
  </si>
  <si>
    <t>Numero de manobras (numero de brocas -1):</t>
  </si>
  <si>
    <t>tc (em horas):</t>
  </si>
  <si>
    <t>tc (em dias):</t>
  </si>
  <si>
    <t>Tempo de Manobra</t>
  </si>
  <si>
    <t>Manobra em 26in (2x)</t>
  </si>
  <si>
    <t>Manobra em 17.5in (2x)</t>
  </si>
  <si>
    <t>Manobra em 12.25in (6x)</t>
  </si>
  <si>
    <t>Manobra em 8.5in (5x)</t>
  </si>
  <si>
    <t>tt (em horas)</t>
  </si>
  <si>
    <t>Curva CAP - C2</t>
  </si>
  <si>
    <t>Base</t>
  </si>
  <si>
    <t>Tempo total de perfuração (em horas)</t>
  </si>
  <si>
    <t>Down</t>
  </si>
  <si>
    <t>Tempo total de perfuração (em dias)</t>
  </si>
  <si>
    <t>Up</t>
  </si>
  <si>
    <t>Tempo de completação (em horas)</t>
  </si>
  <si>
    <t>Tempo de completação (em dias)</t>
  </si>
  <si>
    <t>Tempo total (P+C) (em horas)</t>
  </si>
  <si>
    <t>Tempo total (P+C) (em dias)</t>
  </si>
  <si>
    <t>Tempo de Broca</t>
  </si>
  <si>
    <t>Pela Taxa</t>
  </si>
  <si>
    <t>Na fase BS=26in (CSG=20in):</t>
  </si>
  <si>
    <t>dD/dtc (taxa em m/h):</t>
  </si>
  <si>
    <t>tb-26in (em horas):</t>
  </si>
  <si>
    <t>Na fase BS=17.5in (CSG=13.375in):</t>
  </si>
  <si>
    <t>tb-17.5in (em horas):</t>
  </si>
  <si>
    <t>Na fase BS=12.25in (CSG=9.625in):</t>
  </si>
  <si>
    <t>tb-12.25in (em horas):</t>
  </si>
  <si>
    <t>Na fase BS=8.5in (CSG=7in):</t>
  </si>
  <si>
    <t>tb-8.5in (em horas):</t>
  </si>
  <si>
    <t>Canhoneados (m)</t>
  </si>
  <si>
    <t>Grid Bottom (m)</t>
  </si>
  <si>
    <t>Grid Top (m)</t>
  </si>
  <si>
    <t xml:space="preserve">Prof Média do 1º Canhoneado (m) </t>
  </si>
  <si>
    <t>Comprimento do Poço (m)</t>
  </si>
  <si>
    <t>1º Óleo - Base</t>
  </si>
  <si>
    <t>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</si>
</sst>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2" borderId="0" xfId="0" applyFill="1"/>
    <xf numFmtId="9" fontId="0" fillId="0" borderId="0" xfId="1" applyFont="1"/>
    <xf numFmtId="2" fontId="0" fillId="2" borderId="0" xfId="0" applyNumberFormat="1" applyFill="1"/>
    <xf numFmtId="165" fontId="0" fillId="0" borderId="0" xfId="0" applyNumberFormat="1"/>
    <xf numFmtId="44" fontId="0" fillId="0" borderId="0" xfId="2" applyNumberFormat="1" applyFont="1"/>
    <xf numFmtId="44" fontId="0" fillId="2" borderId="0" xfId="2" applyNumberFormat="1" applyFont="1" applyFill="1"/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12701</xdr:colOff>
      <xdr:row>1</xdr:row>
      <xdr:rowOff>6350</xdr:rowOff>
    </xdr:from>
    <xdr:ext cx="3245017" cy="4165814"/>
    <xdr:pic>
      <xdr:nvPicPr>
        <xdr:cNvPr id="2" name="Imagem 1">
          <a:extLst>
            <a:ext uri="{FF2B5EF4-FFF2-40B4-BE49-F238E27FC236}">
              <a16:creationId xmlns:a16="http://schemas.microsoft.com/office/drawing/2014/main" id="{ECD1D3D6-0782-4517-898A-EC484656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1" y="190500"/>
          <a:ext cx="3245017" cy="4165814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E2" activeCellId="1" sqref="G2 E2"/>
    </sheetView>
  </sheetViews>
  <sheetFormatPr defaultRowHeight="14.5" x14ac:dyDescent="0.35"/>
  <cols>
    <col min="1" max="2" width="8.453125" customWidth="1"/>
    <col min="3" max="3" width="17.81640625" style="2" bestFit="1" customWidth="1"/>
    <col min="4" max="4" width="24.54296875" bestFit="1" customWidth="1"/>
    <col min="5" max="5" width="14.1796875" bestFit="1" customWidth="1"/>
    <col min="6" max="6" width="25.1796875" customWidth="1"/>
    <col min="7" max="7" width="14.81640625" bestFit="1" customWidth="1"/>
    <col min="8" max="8" width="22.54296875" bestFit="1" customWidth="1"/>
    <col min="9" max="9" width="12" bestFit="1" customWidth="1"/>
  </cols>
  <sheetData>
    <row r="1" spans="1:9" x14ac:dyDescent="0.35">
      <c r="A1" s="14" t="s">
        <v>95</v>
      </c>
      <c r="B1" s="3" t="s">
        <v>1</v>
      </c>
      <c r="C1" s="3" t="s">
        <v>2</v>
      </c>
      <c r="D1" s="3" t="s">
        <v>3</v>
      </c>
      <c r="E1" s="3" t="s">
        <v>94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35">
      <c r="A2" s="5" t="s">
        <v>8</v>
      </c>
      <c r="B2" s="1">
        <v>1</v>
      </c>
      <c r="C2" s="4">
        <v>3438.9</v>
      </c>
      <c r="D2" s="4">
        <f>'Tempo de Construção do Poço'!L34</f>
        <v>184.85236495126645</v>
      </c>
      <c r="E2" s="6">
        <v>46753</v>
      </c>
      <c r="F2" s="4">
        <f>D2</f>
        <v>184.85236495126645</v>
      </c>
      <c r="G2" s="6">
        <v>47119</v>
      </c>
      <c r="H2" s="4">
        <f>D2</f>
        <v>184.85236495126645</v>
      </c>
      <c r="I2" s="6">
        <v>46388</v>
      </c>
    </row>
    <row r="3" spans="1:9" x14ac:dyDescent="0.35">
      <c r="A3" s="5" t="s">
        <v>9</v>
      </c>
      <c r="B3" s="1">
        <v>2</v>
      </c>
      <c r="C3">
        <v>3630.4</v>
      </c>
      <c r="D3" s="4">
        <f>2/3*$D$2*EXP((1-B3)*'Tempo de Construção do Poço'!$E$27) + 1/3*$D$2</f>
        <v>157.59289936818709</v>
      </c>
      <c r="E3" s="6">
        <f>E2+D3</f>
        <v>46910.592899368188</v>
      </c>
      <c r="F3" s="4">
        <f>2/3*$F$2*EXP((1-$B3)*'Tempo de Construção do Poço'!$E$28) + 1/3*$F$2</f>
        <v>170.37188132037539</v>
      </c>
      <c r="G3" s="6">
        <f>G2+F3</f>
        <v>47289.371881320374</v>
      </c>
      <c r="H3" s="4">
        <f>2/3*$H$2*EXP((1-$B3)*'Tempo de Construção do Poço'!$E$29) + 1/3*$H$2</f>
        <v>146.31548737719646</v>
      </c>
      <c r="I3" s="6">
        <f>I2+H3</f>
        <v>46534.3154873772</v>
      </c>
    </row>
    <row r="4" spans="1:9" x14ac:dyDescent="0.35">
      <c r="A4" s="5" t="s">
        <v>10</v>
      </c>
      <c r="B4" s="1">
        <v>3</v>
      </c>
      <c r="C4" s="4">
        <f>VLOOKUP(A4,Produtores!$A$2:$H$16,6,FALSE)</f>
        <v>3483.4277958000002</v>
      </c>
      <c r="D4" s="4">
        <f>2/3*$D$2*EXP((1-B4)*'Tempo de Construção do Poço'!$E$27) + 1/3*$D$2</f>
        <v>136.36320622597688</v>
      </c>
      <c r="E4" s="6">
        <f t="shared" ref="E4:E30" si="0">E3+D4</f>
        <v>47046.956105594167</v>
      </c>
      <c r="F4" s="4">
        <f>2/3*$F$2*EXP((1-$B4)*'Tempo de Construção do Poço'!$E$28) + 1/3*$F$2</f>
        <v>157.59289936818709</v>
      </c>
      <c r="G4" s="6">
        <f t="shared" ref="G4:I30" si="1">G3+F4</f>
        <v>47446.964780688562</v>
      </c>
      <c r="H4" s="4">
        <f>2/3*$H$2*EXP((1-$B4)*'Tempo de Construção do Poço'!$E$29) + 1/3*$H$2</f>
        <v>119.82950458245794</v>
      </c>
      <c r="I4" s="6">
        <f t="shared" si="1"/>
        <v>46654.144991959656</v>
      </c>
    </row>
    <row r="5" spans="1:9" x14ac:dyDescent="0.35">
      <c r="A5" s="5" t="s">
        <v>11</v>
      </c>
      <c r="B5" s="1">
        <v>4</v>
      </c>
      <c r="C5">
        <v>3516.6</v>
      </c>
      <c r="D5" s="4">
        <f>2/3*$D$2*EXP((1-B5)*'Tempo de Construção do Poço'!$E$27) + 1/3*$D$2</f>
        <v>119.82950458245794</v>
      </c>
      <c r="E5" s="6">
        <f t="shared" si="0"/>
        <v>47166.785610176623</v>
      </c>
      <c r="F5" s="4">
        <f>2/3*$F$2*EXP((1-$B5)*'Tempo de Construção do Poço'!$E$28) + 1/3*$F$2</f>
        <v>146.31548737719646</v>
      </c>
      <c r="G5" s="6">
        <f t="shared" si="1"/>
        <v>47593.280268065762</v>
      </c>
      <c r="H5" s="4">
        <f>2/3*$H$2*EXP((1-$B5)*'Tempo de Construção do Poço'!$E$29) + 1/3*$H$2</f>
        <v>101.62597256939199</v>
      </c>
      <c r="I5" s="6">
        <f t="shared" si="1"/>
        <v>46755.770964529045</v>
      </c>
    </row>
    <row r="6" spans="1:9" x14ac:dyDescent="0.35">
      <c r="A6" s="5" t="s">
        <v>12</v>
      </c>
      <c r="B6" s="1">
        <v>5</v>
      </c>
      <c r="C6" s="4">
        <f>VLOOKUP(A6,Produtores!$A$2:$H$16,6,FALSE)</f>
        <v>3120.9725346499999</v>
      </c>
      <c r="D6" s="4">
        <f>2/3*$D$2*EXP((1-B6)*'Tempo de Construção do Poço'!$E$27) + 1/3*$D$2</f>
        <v>106.95304479541642</v>
      </c>
      <c r="E6" s="6">
        <f t="shared" si="0"/>
        <v>47273.73865497204</v>
      </c>
      <c r="F6" s="4">
        <f>2/3*$F$2*EXP((1-$B6)*'Tempo de Construção do Poço'!$E$28) + 1/3*$F$2</f>
        <v>136.36320622597688</v>
      </c>
      <c r="G6" s="6">
        <f t="shared" si="1"/>
        <v>47729.643474291741</v>
      </c>
      <c r="H6" s="4">
        <f>2/3*$H$2*EXP((1-$B6)*'Tempo de Construção do Poço'!$E$29) + 1/3*$H$2</f>
        <v>89.114880180683528</v>
      </c>
      <c r="I6" s="6">
        <f t="shared" si="1"/>
        <v>46844.88584470973</v>
      </c>
    </row>
    <row r="7" spans="1:9" x14ac:dyDescent="0.35">
      <c r="A7" s="5" t="s">
        <v>13</v>
      </c>
      <c r="B7" s="1">
        <v>6</v>
      </c>
      <c r="C7" s="4">
        <f>VLOOKUP(A7,Injetores!$A$2:$H$15,6,FALSE)</f>
        <v>3086.9703983999998</v>
      </c>
      <c r="D7" s="4">
        <f>2/3*$D$2*EXP((1-B7)*'Tempo de Construção do Poço'!$E$27) + 1/3*$D$2</f>
        <v>96.924847830081021</v>
      </c>
      <c r="E7" s="6">
        <f t="shared" si="0"/>
        <v>47370.663502802119</v>
      </c>
      <c r="F7" s="4">
        <f>2/3*$F$2*EXP((1-$B7)*'Tempo de Construção do Poço'!$E$28) + 1/3*$F$2</f>
        <v>127.58034893637455</v>
      </c>
      <c r="G7" s="6">
        <f t="shared" si="1"/>
        <v>47857.223823228116</v>
      </c>
      <c r="H7" s="4">
        <f>2/3*$H$2*EXP((1-$B7)*'Tempo de Construção do Poço'!$E$29) + 1/3*$H$2</f>
        <v>80.516140515960871</v>
      </c>
      <c r="I7" s="6">
        <f t="shared" si="1"/>
        <v>46925.40198522569</v>
      </c>
    </row>
    <row r="8" spans="1:9" x14ac:dyDescent="0.35">
      <c r="A8" s="5" t="s">
        <v>14</v>
      </c>
      <c r="B8" s="1">
        <v>7</v>
      </c>
      <c r="C8" s="4">
        <f>VLOOKUP(A8,Produtores!$A$2:$H$16,6,FALSE)</f>
        <v>3214.9865725</v>
      </c>
      <c r="D8" s="4">
        <f>2/3*$D$2*EXP((1-B8)*'Tempo de Construção do Poço'!$E$27) + 1/3*$D$2</f>
        <v>89.114880180683528</v>
      </c>
      <c r="E8" s="6">
        <f t="shared" si="0"/>
        <v>47459.778382982804</v>
      </c>
      <c r="F8" s="4">
        <f>2/3*$F$2*EXP((1-$B8)*'Tempo de Construção do Poço'!$E$28) + 1/3*$F$2</f>
        <v>119.82950458245794</v>
      </c>
      <c r="G8" s="6">
        <f t="shared" si="1"/>
        <v>47977.053327810572</v>
      </c>
      <c r="H8" s="4">
        <f>2/3*$H$2*EXP((1-$B8)*'Tempo de Construção do Poço'!$E$29) + 1/3*$H$2</f>
        <v>74.606318933282296</v>
      </c>
      <c r="I8" s="6">
        <f t="shared" si="1"/>
        <v>47000.008304158975</v>
      </c>
    </row>
    <row r="9" spans="1:9" x14ac:dyDescent="0.35">
      <c r="A9" s="5" t="s">
        <v>15</v>
      </c>
      <c r="B9" s="1">
        <v>8</v>
      </c>
      <c r="C9" s="4">
        <f>VLOOKUP(A9,Injetores!$A$2:$H$15,6,FALSE)</f>
        <v>3121.7678833999998</v>
      </c>
      <c r="D9" s="4">
        <f>2/3*$D$2*EXP((1-B9)*'Tempo de Construção do Poço'!$E$27) + 1/3*$D$2</f>
        <v>83.032471259570428</v>
      </c>
      <c r="E9" s="6">
        <f t="shared" si="0"/>
        <v>47542.810854242372</v>
      </c>
      <c r="F9" s="4">
        <f>2/3*$F$2*EXP((1-$B9)*'Tempo de Construção do Poço'!$E$28) + 1/3*$F$2</f>
        <v>112.98940844771124</v>
      </c>
      <c r="G9" s="6">
        <f t="shared" si="1"/>
        <v>48090.042736258285</v>
      </c>
      <c r="H9" s="4">
        <f>2/3*$H$2*EXP((1-$B9)*'Tempo de Construção do Poço'!$E$29) + 1/3*$H$2</f>
        <v>70.544561919939824</v>
      </c>
      <c r="I9" s="6">
        <f t="shared" si="1"/>
        <v>47070.552866078913</v>
      </c>
    </row>
    <row r="10" spans="1:9" x14ac:dyDescent="0.35">
      <c r="A10" s="5" t="s">
        <v>16</v>
      </c>
      <c r="B10" s="1">
        <v>9</v>
      </c>
      <c r="C10" s="4">
        <f>VLOOKUP(A10,Produtores!$A$2:$H$16,6,FALSE)</f>
        <v>2957.0051577999998</v>
      </c>
      <c r="D10" s="4">
        <f>2/3*$D$2*EXP((1-B10)*'Tempo de Construção do Poço'!$E$27) + 1/3*$D$2</f>
        <v>78.295486428847042</v>
      </c>
      <c r="E10" s="6">
        <f t="shared" si="0"/>
        <v>47621.10634067122</v>
      </c>
      <c r="F10" s="4">
        <f>2/3*$F$2*EXP((1-$B10)*'Tempo de Construção do Poço'!$E$28) + 1/3*$F$2</f>
        <v>106.95304479541642</v>
      </c>
      <c r="G10" s="6">
        <f t="shared" si="1"/>
        <v>48196.995781053702</v>
      </c>
      <c r="H10" s="4">
        <f>2/3*$H$2*EXP((1-$B10)*'Tempo de Construção do Poço'!$E$29) + 1/3*$H$2</f>
        <v>67.752959871615502</v>
      </c>
      <c r="I10" s="6">
        <f t="shared" si="1"/>
        <v>47138.305825950527</v>
      </c>
    </row>
    <row r="11" spans="1:9" x14ac:dyDescent="0.35">
      <c r="A11" s="5" t="s">
        <v>17</v>
      </c>
      <c r="B11" s="1">
        <v>10</v>
      </c>
      <c r="C11" s="4">
        <f>VLOOKUP(A11,Injetores!$A$2:$H$15,6,FALSE)</f>
        <v>2766.3057250500001</v>
      </c>
      <c r="D11" s="4">
        <f>2/3*$D$2*EXP((1-B11)*'Tempo de Construção do Poço'!$E$27) + 1/3*$D$2</f>
        <v>74.606318933282296</v>
      </c>
      <c r="E11" s="6">
        <f t="shared" si="0"/>
        <v>47695.712659604505</v>
      </c>
      <c r="F11" s="4">
        <f>2/3*$F$2*EXP((1-$B11)*'Tempo de Construção do Poço'!$E$28) + 1/3*$F$2</f>
        <v>101.62597256939199</v>
      </c>
      <c r="G11" s="6">
        <f t="shared" si="1"/>
        <v>48298.621753623091</v>
      </c>
      <c r="H11" s="4">
        <f>2/3*$H$2*EXP((1-$B11)*'Tempo de Construção do Poço'!$E$29) + 1/3*$H$2</f>
        <v>65.834321713151283</v>
      </c>
      <c r="I11" s="6">
        <f t="shared" si="1"/>
        <v>47204.140147663675</v>
      </c>
    </row>
    <row r="12" spans="1:9" x14ac:dyDescent="0.35">
      <c r="A12" s="5" t="s">
        <v>18</v>
      </c>
      <c r="B12" s="1">
        <v>11</v>
      </c>
      <c r="C12" s="4">
        <f>VLOOKUP(A12,Produtores!$A$2:$H$16,6,FALSE)</f>
        <v>3265.7711790499998</v>
      </c>
      <c r="D12" s="4">
        <f>2/3*$D$2*EXP((1-B12)*'Tempo de Construção do Poço'!$E$27) + 1/3*$D$2</f>
        <v>71.733192398854911</v>
      </c>
      <c r="E12" s="6">
        <f t="shared" si="0"/>
        <v>47767.445852003359</v>
      </c>
      <c r="F12" s="4">
        <f>2/3*$F$2*EXP((1-$B12)*'Tempo de Construção do Poço'!$E$28) + 1/3*$F$2</f>
        <v>96.924847830081021</v>
      </c>
      <c r="G12" s="6">
        <f t="shared" si="1"/>
        <v>48395.54660145317</v>
      </c>
      <c r="H12" s="4">
        <f>2/3*$H$2*EXP((1-$B12)*'Tempo de Construção do Poço'!$E$29) + 1/3*$H$2</f>
        <v>64.51566227695956</v>
      </c>
      <c r="I12" s="6">
        <f t="shared" si="1"/>
        <v>47268.655809940632</v>
      </c>
    </row>
    <row r="13" spans="1:9" x14ac:dyDescent="0.35">
      <c r="A13" s="5" t="s">
        <v>19</v>
      </c>
      <c r="B13" s="1">
        <v>12</v>
      </c>
      <c r="C13" s="4">
        <f>VLOOKUP(A13,Injetores!$A$2:$H$15,6,FALSE)</f>
        <v>3293.1372067000002</v>
      </c>
      <c r="D13" s="4">
        <f>2/3*$D$2*EXP((1-B13)*'Tempo de Construção do Poço'!$E$27) + 1/3*$D$2</f>
        <v>69.495599203979623</v>
      </c>
      <c r="E13" s="6">
        <f t="shared" si="0"/>
        <v>47836.941451207342</v>
      </c>
      <c r="F13" s="4">
        <f>2/3*$F$2*EXP((1-$B13)*'Tempo de Construção do Poço'!$E$28) + 1/3*$F$2</f>
        <v>92.776119808975267</v>
      </c>
      <c r="G13" s="6">
        <f t="shared" si="1"/>
        <v>48488.322721262142</v>
      </c>
      <c r="H13" s="4">
        <f>2/3*$H$2*EXP((1-$B13)*'Tempo de Construção do Poço'!$E$29) + 1/3*$H$2</f>
        <v>63.609361784088449</v>
      </c>
      <c r="I13" s="6">
        <f t="shared" si="1"/>
        <v>47332.265171724721</v>
      </c>
    </row>
    <row r="14" spans="1:9" x14ac:dyDescent="0.35">
      <c r="A14" s="5" t="s">
        <v>20</v>
      </c>
      <c r="B14" s="1">
        <v>13</v>
      </c>
      <c r="C14" s="4">
        <f>VLOOKUP(A14,Produtores!$A$2:$H$16,6,FALSE)</f>
        <v>3219.0904537000001</v>
      </c>
      <c r="D14" s="4">
        <f>2/3*$D$2*EXP((1-B14)*'Tempo de Construção do Poço'!$E$27) + 1/3*$D$2</f>
        <v>67.752959871615502</v>
      </c>
      <c r="E14" s="6">
        <f t="shared" si="0"/>
        <v>47904.694411078955</v>
      </c>
      <c r="F14" s="4">
        <f>2/3*$F$2*EXP((1-$B14)*'Tempo de Construção do Poço'!$E$28) + 1/3*$F$2</f>
        <v>89.114880180683528</v>
      </c>
      <c r="G14" s="6">
        <f t="shared" si="1"/>
        <v>48577.437601442827</v>
      </c>
      <c r="H14" s="4">
        <f>2/3*$H$2*EXP((1-$B14)*'Tempo de Construção do Poço'!$E$29) + 1/3*$H$2</f>
        <v>62.986471171975161</v>
      </c>
      <c r="I14" s="6">
        <f t="shared" si="1"/>
        <v>47395.251642896699</v>
      </c>
    </row>
    <row r="15" spans="1:9" x14ac:dyDescent="0.35">
      <c r="A15" s="5" t="s">
        <v>21</v>
      </c>
      <c r="B15" s="1">
        <v>14</v>
      </c>
      <c r="C15" s="4">
        <f>VLOOKUP(A15,Injetores!$A$2:$H$15,6,FALSE)</f>
        <v>3247.4438475500001</v>
      </c>
      <c r="D15" s="4">
        <f>2/3*$D$2*EXP((1-B15)*'Tempo de Construção do Poço'!$E$27) + 1/3*$D$2</f>
        <v>66.395790994959299</v>
      </c>
      <c r="E15" s="6">
        <f t="shared" si="0"/>
        <v>47971.090202073916</v>
      </c>
      <c r="F15" s="4">
        <f>2/3*$F$2*EXP((1-$B15)*'Tempo de Construção do Poço'!$E$28) + 1/3*$F$2</f>
        <v>85.883847549096089</v>
      </c>
      <c r="G15" s="6">
        <f t="shared" si="1"/>
        <v>48663.321448991926</v>
      </c>
      <c r="H15" s="4">
        <f>2/3*$H$2*EXP((1-$B15)*'Tempo de Construção do Poço'!$E$29) + 1/3*$H$2</f>
        <v>62.558365132410152</v>
      </c>
      <c r="I15" s="6">
        <f t="shared" si="1"/>
        <v>47457.810008029111</v>
      </c>
    </row>
    <row r="16" spans="1:9" x14ac:dyDescent="0.35">
      <c r="A16" s="5" t="s">
        <v>22</v>
      </c>
      <c r="B16" s="1">
        <v>15</v>
      </c>
      <c r="C16" s="4">
        <f>VLOOKUP(A16,Produtores!$A$2:$H$16,6,FALSE)</f>
        <v>3184.4020993499998</v>
      </c>
      <c r="D16" s="4">
        <f>2/3*$D$2*EXP((1-B16)*'Tempo de Construção do Poço'!$E$27) + 1/3*$D$2</f>
        <v>65.338826811059306</v>
      </c>
      <c r="E16" s="6">
        <f t="shared" si="0"/>
        <v>48036.429028884973</v>
      </c>
      <c r="F16" s="4">
        <f>2/3*$F$2*EXP((1-$B16)*'Tempo de Construção do Poço'!$E$28) + 1/3*$F$2</f>
        <v>83.032471259570428</v>
      </c>
      <c r="G16" s="6">
        <f t="shared" si="1"/>
        <v>48746.353920251495</v>
      </c>
      <c r="H16" s="4">
        <f>2/3*$H$2*EXP((1-$B16)*'Tempo de Construção do Poço'!$E$29) + 1/3*$H$2</f>
        <v>62.264132441231453</v>
      </c>
      <c r="I16" s="6">
        <f t="shared" si="1"/>
        <v>47520.074140470344</v>
      </c>
    </row>
    <row r="17" spans="1:9" x14ac:dyDescent="0.35">
      <c r="A17" s="5" t="s">
        <v>23</v>
      </c>
      <c r="B17" s="1">
        <v>16</v>
      </c>
      <c r="C17" s="4">
        <f>VLOOKUP(A17,Injetores!$A$2:$H$15,6,FALSE)</f>
        <v>3354.6211551000001</v>
      </c>
      <c r="D17" s="4">
        <f>2/3*$D$2*EXP((1-B17)*'Tempo de Construção do Poço'!$E$27) + 1/3*$D$2</f>
        <v>64.51566227695956</v>
      </c>
      <c r="E17" s="6">
        <f t="shared" si="0"/>
        <v>48100.944691161931</v>
      </c>
      <c r="F17" s="4">
        <f>2/3*$F$2*EXP((1-$B17)*'Tempo de Construção do Poço'!$E$28) + 1/3*$F$2</f>
        <v>80.516140515960871</v>
      </c>
      <c r="G17" s="6">
        <f t="shared" si="1"/>
        <v>48826.870060767455</v>
      </c>
      <c r="H17" s="4">
        <f>2/3*$H$2*EXP((1-$B17)*'Tempo de Construção do Poço'!$E$29) + 1/3*$H$2</f>
        <v>62.061909467114525</v>
      </c>
      <c r="I17" s="6">
        <f t="shared" si="1"/>
        <v>47582.136049937457</v>
      </c>
    </row>
    <row r="18" spans="1:9" x14ac:dyDescent="0.35">
      <c r="A18" s="5" t="s">
        <v>24</v>
      </c>
      <c r="B18" s="1">
        <v>17</v>
      </c>
      <c r="C18" s="4">
        <f>VLOOKUP(A18,Produtores!$A$2:$H$16,6,FALSE)</f>
        <v>3459.6552736500003</v>
      </c>
      <c r="D18" s="4">
        <f>2/3*$D$2*EXP((1-B18)*'Tempo de Construção do Poço'!$E$27) + 1/3*$D$2</f>
        <v>63.874581093206075</v>
      </c>
      <c r="E18" s="6">
        <f t="shared" si="0"/>
        <v>48164.819272255139</v>
      </c>
      <c r="F18" s="4">
        <f>2/3*$F$2*EXP((1-$B18)*'Tempo de Construção do Poço'!$E$28) + 1/3*$F$2</f>
        <v>78.295486428847042</v>
      </c>
      <c r="G18" s="6">
        <f t="shared" si="1"/>
        <v>48905.165547196302</v>
      </c>
      <c r="H18" s="4">
        <f>2/3*$H$2*EXP((1-$B18)*'Tempo de Construção do Poço'!$E$29) + 1/3*$H$2</f>
        <v>61.92292378507873</v>
      </c>
      <c r="I18" s="6">
        <f t="shared" si="1"/>
        <v>47644.058973722538</v>
      </c>
    </row>
    <row r="19" spans="1:9" x14ac:dyDescent="0.35">
      <c r="A19" s="5" t="s">
        <v>25</v>
      </c>
      <c r="B19" s="1">
        <v>18</v>
      </c>
      <c r="C19" s="4">
        <f>VLOOKUP(A19,Injetores!$A$2:$H$15,6,FALSE)</f>
        <v>3431.6621095999999</v>
      </c>
      <c r="D19" s="4">
        <f>2/3*$D$2*EXP((1-B19)*'Tempo de Construção do Poço'!$E$27) + 1/3*$D$2</f>
        <v>63.375306565286522</v>
      </c>
      <c r="E19" s="6">
        <f t="shared" si="0"/>
        <v>48228.194578820425</v>
      </c>
      <c r="F19" s="4">
        <f>2/3*$F$2*EXP((1-$B19)*'Tempo de Construção do Poço'!$E$28) + 1/3*$F$2</f>
        <v>76.335766075257268</v>
      </c>
      <c r="G19" s="6">
        <f t="shared" si="1"/>
        <v>48981.501313271561</v>
      </c>
      <c r="H19" s="4">
        <f>2/3*$H$2*EXP((1-$B19)*'Tempo de Construção do Poço'!$E$29) + 1/3*$H$2</f>
        <v>61.827400415910077</v>
      </c>
      <c r="I19" s="6">
        <f t="shared" si="1"/>
        <v>47705.886374138448</v>
      </c>
    </row>
    <row r="20" spans="1:9" x14ac:dyDescent="0.35">
      <c r="A20" s="5" t="s">
        <v>26</v>
      </c>
      <c r="B20" s="1">
        <v>19</v>
      </c>
      <c r="C20" s="4">
        <f>VLOOKUP(A20,Produtores!$A$2:$H$16,6,FALSE)</f>
        <v>3270.6032104999999</v>
      </c>
      <c r="D20" s="4">
        <f>2/3*$D$2*EXP((1-B20)*'Tempo de Construção do Poço'!$E$27) + 1/3*$D$2</f>
        <v>62.986471171975161</v>
      </c>
      <c r="E20" s="6">
        <f t="shared" si="0"/>
        <v>48291.181049992403</v>
      </c>
      <c r="F20" s="4">
        <f>2/3*$F$2*EXP((1-$B20)*'Tempo de Construção do Poço'!$E$28) + 1/3*$F$2</f>
        <v>74.606318933282296</v>
      </c>
      <c r="G20" s="6">
        <f t="shared" si="1"/>
        <v>49056.107632204847</v>
      </c>
      <c r="H20" s="4">
        <f>2/3*$H$2*EXP((1-$B20)*'Tempo de Construção do Poço'!$E$29) + 1/3*$H$2</f>
        <v>61.761748228406475</v>
      </c>
      <c r="I20" s="6">
        <f t="shared" si="1"/>
        <v>47767.648122366852</v>
      </c>
    </row>
    <row r="21" spans="1:9" x14ac:dyDescent="0.35">
      <c r="A21" s="5" t="s">
        <v>27</v>
      </c>
      <c r="B21" s="1">
        <v>20</v>
      </c>
      <c r="C21">
        <v>3516.6</v>
      </c>
      <c r="D21" s="4">
        <f>2/3*$D$2*EXP((1-B21)*'Tempo de Construção do Poço'!$E$27) + 1/3*$D$2</f>
        <v>62.683645863178398</v>
      </c>
      <c r="E21" s="6">
        <f t="shared" si="0"/>
        <v>48353.864695855584</v>
      </c>
      <c r="F21" s="4">
        <f>2/3*$F$2*EXP((1-$B21)*'Tempo de Construção do Poço'!$E$28) + 1/3*$F$2</f>
        <v>73.080087187305608</v>
      </c>
      <c r="G21" s="6">
        <f t="shared" si="1"/>
        <v>49129.187719392154</v>
      </c>
      <c r="H21" s="4">
        <f>2/3*$H$2*EXP((1-$B21)*'Tempo de Construção do Poço'!$E$29) + 1/3*$H$2</f>
        <v>61.716626183806071</v>
      </c>
      <c r="I21" s="6">
        <f t="shared" si="1"/>
        <v>47829.364748550659</v>
      </c>
    </row>
    <row r="22" spans="1:9" x14ac:dyDescent="0.35">
      <c r="A22" s="5" t="s">
        <v>28</v>
      </c>
      <c r="B22" s="1">
        <v>21</v>
      </c>
      <c r="C22" s="4">
        <f>VLOOKUP(A22,Produtores!$A$2:$H$16,6,FALSE)</f>
        <v>3523.33160365</v>
      </c>
      <c r="D22" s="4">
        <f>2/3*$D$2*EXP((1-B22)*'Tempo de Construção do Poço'!$E$27) + 1/3*$D$2</f>
        <v>62.447805275553634</v>
      </c>
      <c r="E22" s="6">
        <f t="shared" si="0"/>
        <v>48416.312501131135</v>
      </c>
      <c r="F22" s="4">
        <f>2/3*$F$2*EXP((1-$B22)*'Tempo de Construção do Poço'!$E$28) + 1/3*$F$2</f>
        <v>71.733192398854911</v>
      </c>
      <c r="G22" s="6">
        <f t="shared" si="1"/>
        <v>49200.920911791007</v>
      </c>
      <c r="H22" s="4">
        <f>2/3*$H$2*EXP((1-$B22)*'Tempo de Construção do Poço'!$E$29) + 1/3*$H$2</f>
        <v>61.685614286315086</v>
      </c>
      <c r="I22" s="6">
        <f t="shared" si="1"/>
        <v>47891.050362836977</v>
      </c>
    </row>
    <row r="23" spans="1:9" x14ac:dyDescent="0.35">
      <c r="A23" s="5" t="s">
        <v>29</v>
      </c>
      <c r="B23" s="1">
        <v>22</v>
      </c>
      <c r="C23">
        <v>3353.2</v>
      </c>
      <c r="D23" s="4">
        <f>2/3*$D$2*EXP((1-B23)*'Tempo de Construção do Poço'!$E$27) + 1/3*$D$2</f>
        <v>62.264132441231453</v>
      </c>
      <c r="E23" s="6">
        <f t="shared" si="0"/>
        <v>48478.576633572367</v>
      </c>
      <c r="F23" s="4">
        <f>2/3*$F$2*EXP((1-$B23)*'Tempo de Construção do Poço'!$E$28) + 1/3*$F$2</f>
        <v>70.544561919939824</v>
      </c>
      <c r="G23" s="6">
        <f t="shared" si="1"/>
        <v>49271.465473710945</v>
      </c>
      <c r="H23" s="4">
        <f>2/3*$H$2*EXP((1-$B23)*'Tempo de Construção do Poço'!$E$29) + 1/3*$H$2</f>
        <v>61.664300141654564</v>
      </c>
      <c r="I23" s="6">
        <f t="shared" si="1"/>
        <v>47952.714662978629</v>
      </c>
    </row>
    <row r="24" spans="1:9" x14ac:dyDescent="0.35">
      <c r="A24" s="5" t="s">
        <v>30</v>
      </c>
      <c r="B24" s="1">
        <v>23</v>
      </c>
      <c r="C24" s="4">
        <f>VLOOKUP(A24,Produtores!$A$2:$H$16,6,FALSE)</f>
        <v>3146.5059207499999</v>
      </c>
      <c r="D24" s="4">
        <f>2/3*$D$2*EXP((1-B24)*'Tempo de Construção do Poço'!$E$27) + 1/3*$D$2</f>
        <v>62.121087894032392</v>
      </c>
      <c r="E24" s="6">
        <f t="shared" si="0"/>
        <v>48540.6977214664</v>
      </c>
      <c r="F24" s="4">
        <f>2/3*$F$2*EXP((1-$B24)*'Tempo de Construção do Poço'!$E$28) + 1/3*$F$2</f>
        <v>69.495599203979623</v>
      </c>
      <c r="G24" s="6">
        <f t="shared" si="1"/>
        <v>49340.961072914928</v>
      </c>
      <c r="H24" s="4">
        <f>2/3*$H$2*EXP((1-$B24)*'Tempo de Construção do Poço'!$E$29) + 1/3*$H$2</f>
        <v>61.649651158542795</v>
      </c>
      <c r="I24" s="6">
        <f t="shared" si="1"/>
        <v>48014.364314137172</v>
      </c>
    </row>
    <row r="25" spans="1:9" x14ac:dyDescent="0.35">
      <c r="A25" s="5" t="s">
        <v>31</v>
      </c>
      <c r="B25" s="1">
        <v>24</v>
      </c>
      <c r="C25" s="4">
        <f>VLOOKUP(A25,Injetores!$A$2:$H$15,6,FALSE)</f>
        <v>3293.8698732499997</v>
      </c>
      <c r="D25" s="4">
        <f>2/3*$D$2*EXP((1-B25)*'Tempo de Construção do Poço'!$E$27) + 1/3*$D$2</f>
        <v>62.009684688659668</v>
      </c>
      <c r="E25" s="6">
        <f t="shared" si="0"/>
        <v>48602.707406155059</v>
      </c>
      <c r="F25" s="4">
        <f>2/3*$F$2*EXP((1-$B25)*'Tempo de Construção do Poço'!$E$28) + 1/3*$F$2</f>
        <v>68.569892856218019</v>
      </c>
      <c r="G25" s="6">
        <f t="shared" si="1"/>
        <v>49409.530965771148</v>
      </c>
      <c r="H25" s="4">
        <f>2/3*$H$2*EXP((1-$B25)*'Tempo de Construção do Poço'!$E$29) + 1/3*$H$2</f>
        <v>61.63958306950488</v>
      </c>
      <c r="I25" s="6">
        <f t="shared" si="1"/>
        <v>48076.003897206676</v>
      </c>
    </row>
    <row r="26" spans="1:9" x14ac:dyDescent="0.35">
      <c r="A26" s="5" t="s">
        <v>32</v>
      </c>
      <c r="B26" s="1">
        <v>25</v>
      </c>
      <c r="C26" s="4">
        <f>VLOOKUP(A26,Produtores!$A$2:$H$16,6,FALSE)</f>
        <v>3313.0681149499997</v>
      </c>
      <c r="D26" s="4">
        <f>2/3*$D$2*EXP((1-B26)*'Tempo de Construção do Poço'!$E$27) + 1/3*$D$2</f>
        <v>61.92292378507873</v>
      </c>
      <c r="E26" s="6">
        <f t="shared" si="0"/>
        <v>48664.630329940141</v>
      </c>
      <c r="F26" s="4">
        <f>2/3*$F$2*EXP((1-$B26)*'Tempo de Construção do Poço'!$E$28) + 1/3*$F$2</f>
        <v>67.752959871615502</v>
      </c>
      <c r="G26" s="6">
        <f t="shared" si="1"/>
        <v>49477.283925642761</v>
      </c>
      <c r="H26" s="4">
        <f>2/3*$H$2*EXP((1-$B26)*'Tempo de Construção do Poço'!$E$29) + 1/3*$H$2</f>
        <v>61.632663379851209</v>
      </c>
      <c r="I26" s="6">
        <f t="shared" si="1"/>
        <v>48137.636560586529</v>
      </c>
    </row>
    <row r="27" spans="1:9" x14ac:dyDescent="0.35">
      <c r="A27" s="5" t="s">
        <v>33</v>
      </c>
      <c r="B27" s="1">
        <v>26</v>
      </c>
      <c r="C27" s="4">
        <f>VLOOKUP(A27,Injetores!$A$2:$H$15,6,FALSE)</f>
        <v>3359.5495609</v>
      </c>
      <c r="D27" s="4">
        <f>2/3*$D$2*EXP((1-B27)*'Tempo de Construção do Poço'!$E$27) + 1/3*$D$2</f>
        <v>61.855354325429907</v>
      </c>
      <c r="E27" s="6">
        <f t="shared" si="0"/>
        <v>48726.485684265572</v>
      </c>
      <c r="F27" s="4">
        <f>2/3*$F$2*EXP((1-$B27)*'Tempo de Construção do Poço'!$E$28) + 1/3*$F$2</f>
        <v>67.032019043084603</v>
      </c>
      <c r="G27" s="6">
        <f t="shared" si="1"/>
        <v>49544.315944685848</v>
      </c>
      <c r="H27" s="4">
        <f>2/3*$H$2*EXP((1-$B27)*'Tempo de Construção do Poço'!$E$29) + 1/3*$H$2</f>
        <v>61.627907551339682</v>
      </c>
      <c r="I27" s="6">
        <f t="shared" si="1"/>
        <v>48199.264468137866</v>
      </c>
    </row>
    <row r="28" spans="1:9" x14ac:dyDescent="0.35">
      <c r="A28" s="5" t="s">
        <v>34</v>
      </c>
      <c r="B28" s="1">
        <v>27</v>
      </c>
      <c r="C28" s="4">
        <f>VLOOKUP(A28,Produtores!$A$2:$H$16,6,FALSE)</f>
        <v>3276.4739989</v>
      </c>
      <c r="D28" s="4">
        <f>2/3*$D$2*EXP((1-B28)*'Tempo de Construção do Poço'!$E$27) + 1/3*$D$2</f>
        <v>61.802731177343695</v>
      </c>
      <c r="E28" s="6">
        <f t="shared" si="0"/>
        <v>48788.288415442912</v>
      </c>
      <c r="F28" s="4">
        <f>2/3*$F$2*EXP((1-$B28)*'Tempo de Construção do Poço'!$E$28) + 1/3*$F$2</f>
        <v>66.395790994959299</v>
      </c>
      <c r="G28" s="6">
        <f t="shared" si="1"/>
        <v>49610.711735680808</v>
      </c>
      <c r="H28" s="4">
        <f>2/3*$H$2*EXP((1-$B28)*'Tempo de Construção do Poço'!$E$29) + 1/3*$H$2</f>
        <v>61.624638921391941</v>
      </c>
      <c r="I28" s="6">
        <f t="shared" si="1"/>
        <v>48260.889107059258</v>
      </c>
    </row>
    <row r="29" spans="1:9" x14ac:dyDescent="0.35">
      <c r="A29" s="5" t="s">
        <v>35</v>
      </c>
      <c r="B29" s="1">
        <v>28</v>
      </c>
      <c r="C29" s="4">
        <f>VLOOKUP(A29,Injetores!$A$2:$H$15,6,FALSE)</f>
        <v>2937.0680237500001</v>
      </c>
      <c r="D29" s="4">
        <f>2/3*$D$2*EXP((1-B29)*'Tempo de Construção do Poço'!$E$27) + 1/3*$D$2</f>
        <v>61.761748228406475</v>
      </c>
      <c r="E29" s="6">
        <f t="shared" si="0"/>
        <v>48850.050163671316</v>
      </c>
      <c r="F29" s="4">
        <f>2/3*$F$2*EXP((1-$B29)*'Tempo de Construção do Poço'!$E$28) + 1/3*$F$2</f>
        <v>65.834321713151283</v>
      </c>
      <c r="G29" s="6">
        <f t="shared" si="1"/>
        <v>49676.546057393956</v>
      </c>
      <c r="H29" s="4">
        <f>2/3*$H$2*EXP((1-$B29)*'Tempo de Construção do Poço'!$E$29) + 1/3*$H$2</f>
        <v>61.622392427072519</v>
      </c>
      <c r="I29" s="6">
        <f t="shared" si="1"/>
        <v>48322.511499486332</v>
      </c>
    </row>
    <row r="30" spans="1:9" x14ac:dyDescent="0.35">
      <c r="A30" s="5" t="s">
        <v>36</v>
      </c>
      <c r="B30" s="1">
        <v>29</v>
      </c>
      <c r="C30" s="4">
        <f>VLOOKUP(A30,Produtores!$A$2:$H$16,6,FALSE)</f>
        <v>3211.0917362999999</v>
      </c>
      <c r="D30" s="4">
        <f>2/3*$D$2*EXP((1-B30)*'Tempo de Construção do Poço'!$E$27) + 1/3*$D$2</f>
        <v>61.72983067568159</v>
      </c>
      <c r="E30" s="6">
        <f t="shared" si="0"/>
        <v>48911.779994346994</v>
      </c>
      <c r="F30" s="4">
        <f>2/3*$F$2*EXP((1-$B30)*'Tempo de Construção do Poço'!$E$28) + 1/3*$F$2</f>
        <v>65.338826811059306</v>
      </c>
      <c r="G30" s="6">
        <f t="shared" si="1"/>
        <v>49741.884884205014</v>
      </c>
      <c r="H30" s="4">
        <f>2/3*$H$2*EXP((1-$B30)*'Tempo de Construção do Poço'!$E$29) + 1/3*$H$2</f>
        <v>61.620848435611919</v>
      </c>
      <c r="I30" s="6">
        <f t="shared" si="1"/>
        <v>48384.132347921943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91E4-E1C1-4ACE-9612-3714C6209131}">
  <dimension ref="D2:N74"/>
  <sheetViews>
    <sheetView topLeftCell="C1" workbookViewId="0">
      <selection activeCell="I7" sqref="I7"/>
    </sheetView>
  </sheetViews>
  <sheetFormatPr defaultRowHeight="14.5" x14ac:dyDescent="0.35"/>
  <cols>
    <col min="8" max="8" width="26.1796875" customWidth="1"/>
    <col min="9" max="9" width="16.453125" bestFit="1" customWidth="1"/>
    <col min="11" max="11" width="41.54296875" bestFit="1" customWidth="1"/>
    <col min="12" max="12" width="13.54296875" customWidth="1"/>
    <col min="13" max="13" width="16.54296875" customWidth="1"/>
    <col min="14" max="14" width="14.453125" customWidth="1"/>
  </cols>
  <sheetData>
    <row r="2" spans="8:14" x14ac:dyDescent="0.35">
      <c r="H2" t="s">
        <v>37</v>
      </c>
      <c r="K2" t="s">
        <v>38</v>
      </c>
    </row>
    <row r="3" spans="8:14" x14ac:dyDescent="0.35">
      <c r="H3" t="s">
        <v>39</v>
      </c>
      <c r="I3">
        <v>1000</v>
      </c>
      <c r="K3" t="s">
        <v>40</v>
      </c>
      <c r="L3" t="s">
        <v>41</v>
      </c>
      <c r="M3" t="s">
        <v>42</v>
      </c>
      <c r="N3" t="s">
        <v>43</v>
      </c>
    </row>
    <row r="4" spans="8:14" x14ac:dyDescent="0.35">
      <c r="H4" t="s">
        <v>44</v>
      </c>
      <c r="I4" s="4">
        <f>J4*$I$7</f>
        <v>381.078125</v>
      </c>
      <c r="J4" s="13">
        <v>0.15625</v>
      </c>
      <c r="K4" t="s">
        <v>45</v>
      </c>
      <c r="L4" s="11">
        <v>58000</v>
      </c>
      <c r="M4">
        <v>2</v>
      </c>
      <c r="N4" s="11">
        <f>L4*M4</f>
        <v>116000</v>
      </c>
    </row>
    <row r="5" spans="8:14" x14ac:dyDescent="0.35">
      <c r="H5" t="s">
        <v>46</v>
      </c>
      <c r="I5" s="4">
        <f>J5*$I$7</f>
        <v>914.58750000000009</v>
      </c>
      <c r="J5" s="13">
        <v>0.375</v>
      </c>
      <c r="K5" t="s">
        <v>47</v>
      </c>
      <c r="L5" s="11">
        <v>45000</v>
      </c>
      <c r="M5">
        <v>2</v>
      </c>
      <c r="N5" s="11">
        <f>L5*M5</f>
        <v>90000</v>
      </c>
    </row>
    <row r="6" spans="8:14" x14ac:dyDescent="0.35">
      <c r="H6" t="s">
        <v>48</v>
      </c>
      <c r="I6" s="4">
        <f>J6*$I$7</f>
        <v>1600.528125</v>
      </c>
      <c r="J6" s="13">
        <v>0.65625</v>
      </c>
      <c r="K6" t="s">
        <v>49</v>
      </c>
      <c r="L6" s="11">
        <v>23000</v>
      </c>
      <c r="M6">
        <v>6</v>
      </c>
      <c r="N6" s="11">
        <f>L6*M6</f>
        <v>138000</v>
      </c>
    </row>
    <row r="7" spans="8:14" x14ac:dyDescent="0.35">
      <c r="H7" t="s">
        <v>50</v>
      </c>
      <c r="I7" s="4">
        <f>Cronograma_Perfuração!C2-I3</f>
        <v>2438.9</v>
      </c>
      <c r="J7" s="8"/>
      <c r="K7" t="s">
        <v>51</v>
      </c>
      <c r="L7" s="11">
        <v>16000</v>
      </c>
      <c r="M7">
        <v>6</v>
      </c>
      <c r="N7" s="11">
        <f>L7*M7</f>
        <v>96000</v>
      </c>
    </row>
    <row r="8" spans="8:14" x14ac:dyDescent="0.35">
      <c r="I8" s="4"/>
      <c r="M8" s="7" t="s">
        <v>52</v>
      </c>
      <c r="N8" s="12">
        <f>SUM(N4:N7)</f>
        <v>440000</v>
      </c>
    </row>
    <row r="10" spans="8:14" x14ac:dyDescent="0.35">
      <c r="H10" t="s">
        <v>53</v>
      </c>
      <c r="I10" s="10">
        <v>180000</v>
      </c>
      <c r="K10" t="s">
        <v>54</v>
      </c>
      <c r="L10" s="4">
        <f>(1/3.6/0.000889) * (EXP(0.000889*I7)-1)</f>
        <v>2419.190357278083</v>
      </c>
    </row>
    <row r="11" spans="8:14" x14ac:dyDescent="0.35">
      <c r="H11" t="s">
        <v>55</v>
      </c>
      <c r="I11" s="10">
        <f>I10*ROUNDUP(L34,0)</f>
        <v>33300000</v>
      </c>
      <c r="K11" s="7" t="s">
        <v>56</v>
      </c>
      <c r="L11" s="9">
        <f>L10/24</f>
        <v>100.79959821992013</v>
      </c>
    </row>
    <row r="13" spans="8:14" x14ac:dyDescent="0.35">
      <c r="H13" t="s">
        <v>57</v>
      </c>
      <c r="I13" s="11">
        <f>(N8+I10*(L11+L16+L25))/I7</f>
        <v>7976.2950958518677</v>
      </c>
      <c r="K13" t="s">
        <v>58</v>
      </c>
    </row>
    <row r="14" spans="8:14" x14ac:dyDescent="0.35">
      <c r="K14" t="s">
        <v>59</v>
      </c>
      <c r="L14">
        <f>SUM(M4:M7) - 1</f>
        <v>15</v>
      </c>
    </row>
    <row r="15" spans="8:14" x14ac:dyDescent="0.35">
      <c r="K15" t="s">
        <v>60</v>
      </c>
      <c r="L15">
        <f>L14*2</f>
        <v>30</v>
      </c>
    </row>
    <row r="16" spans="8:14" x14ac:dyDescent="0.35">
      <c r="K16" s="7" t="s">
        <v>61</v>
      </c>
      <c r="L16" s="7">
        <f>L15/24</f>
        <v>1.25</v>
      </c>
    </row>
    <row r="18" spans="4:12" x14ac:dyDescent="0.35">
      <c r="K18" t="s">
        <v>62</v>
      </c>
    </row>
    <row r="19" spans="4:12" x14ac:dyDescent="0.35">
      <c r="K19" t="s">
        <v>63</v>
      </c>
      <c r="L19" s="4">
        <f>0.003*(I$3+I4/2) + 0.003*(I$3+I4)</f>
        <v>7.7148515625000007</v>
      </c>
    </row>
    <row r="20" spans="4:12" x14ac:dyDescent="0.35">
      <c r="K20" t="s">
        <v>64</v>
      </c>
      <c r="L20" s="4">
        <f>0.003*(I$3+I5/2) + 0.003*(I$3+I5)</f>
        <v>10.11564375</v>
      </c>
    </row>
    <row r="21" spans="4:12" x14ac:dyDescent="0.35">
      <c r="K21" t="s">
        <v>65</v>
      </c>
      <c r="L21" s="4">
        <f>0.003*(I$3+I6/6) + 0.003*(I$3+2*I6/6)+ 0.003*(I$3+3*I6/6) + 0.003*(I$3+4*I6/6) + 0.003*(I$3+5*I6/6) + 0.003*(I$3+I6)</f>
        <v>34.805545312500001</v>
      </c>
    </row>
    <row r="22" spans="4:12" x14ac:dyDescent="0.35">
      <c r="K22" t="s">
        <v>66</v>
      </c>
      <c r="L22" s="4">
        <f>0.003*(I$3+I7/6) + 0.003*(I$3+2*I7/6)+ 0.003*(I$3+3*I7/6) + 0.003*(I$3+4*I7/6) + 0.003*(I$3+5*I7/6)</f>
        <v>33.29175</v>
      </c>
    </row>
    <row r="23" spans="4:12" x14ac:dyDescent="0.35">
      <c r="L23" s="4"/>
    </row>
    <row r="24" spans="4:12" x14ac:dyDescent="0.35">
      <c r="K24" t="s">
        <v>67</v>
      </c>
      <c r="L24" s="4">
        <f>SUM(L19:L22)</f>
        <v>85.927790625</v>
      </c>
    </row>
    <row r="25" spans="4:12" x14ac:dyDescent="0.35">
      <c r="L25" s="9">
        <f>L24/24</f>
        <v>3.5803246093749999</v>
      </c>
    </row>
    <row r="26" spans="4:12" x14ac:dyDescent="0.35">
      <c r="D26" t="s">
        <v>68</v>
      </c>
    </row>
    <row r="27" spans="4:12" x14ac:dyDescent="0.35">
      <c r="D27" t="s">
        <v>69</v>
      </c>
      <c r="E27">
        <v>0.25</v>
      </c>
      <c r="K27" t="s">
        <v>70</v>
      </c>
      <c r="L27" s="4">
        <f>L24+L15+L10</f>
        <v>2535.1181479030829</v>
      </c>
    </row>
    <row r="28" spans="4:12" x14ac:dyDescent="0.35">
      <c r="D28" t="s">
        <v>71</v>
      </c>
      <c r="E28">
        <v>0.125</v>
      </c>
      <c r="K28" s="7" t="s">
        <v>72</v>
      </c>
      <c r="L28" s="9">
        <f>L27/24</f>
        <v>105.62992282929513</v>
      </c>
    </row>
    <row r="29" spans="4:12" x14ac:dyDescent="0.35">
      <c r="D29" t="s">
        <v>73</v>
      </c>
      <c r="E29">
        <v>0.375</v>
      </c>
      <c r="L29" s="4"/>
    </row>
    <row r="30" spans="4:12" x14ac:dyDescent="0.35">
      <c r="K30" t="s">
        <v>74</v>
      </c>
      <c r="L30" s="4">
        <f>0.75*L27</f>
        <v>1901.3386109273122</v>
      </c>
    </row>
    <row r="31" spans="4:12" x14ac:dyDescent="0.35">
      <c r="L31" s="9">
        <f>0.75*L28</f>
        <v>79.222442121971341</v>
      </c>
    </row>
    <row r="32" spans="4:12" x14ac:dyDescent="0.35">
      <c r="K32" s="7" t="s">
        <v>75</v>
      </c>
      <c r="L32" s="4"/>
    </row>
    <row r="33" spans="11:12" x14ac:dyDescent="0.35">
      <c r="K33" t="s">
        <v>76</v>
      </c>
      <c r="L33" s="4">
        <f>L30+L27</f>
        <v>4436.4567588303953</v>
      </c>
    </row>
    <row r="34" spans="11:12" x14ac:dyDescent="0.35">
      <c r="K34" s="7" t="s">
        <v>77</v>
      </c>
      <c r="L34" s="9">
        <f>L31+L28</f>
        <v>184.85236495126645</v>
      </c>
    </row>
    <row r="35" spans="11:12" x14ac:dyDescent="0.35">
      <c r="L35" s="4"/>
    </row>
    <row r="59" spans="4:6" x14ac:dyDescent="0.35">
      <c r="D59" t="s">
        <v>78</v>
      </c>
      <c r="F59" s="1" t="s">
        <v>79</v>
      </c>
    </row>
    <row r="60" spans="4:6" x14ac:dyDescent="0.35">
      <c r="D60" t="s">
        <v>80</v>
      </c>
    </row>
    <row r="61" spans="4:6" x14ac:dyDescent="0.35">
      <c r="D61" t="s">
        <v>81</v>
      </c>
      <c r="E61">
        <f>3.6*EXP(-0.000889*I4)</f>
        <v>2.5655051334094763</v>
      </c>
    </row>
    <row r="62" spans="4:6" x14ac:dyDescent="0.35">
      <c r="D62" t="s">
        <v>82</v>
      </c>
      <c r="E62">
        <f>(1/3.6/0.000889) * (EXP(0.000889*I4)-1)</f>
        <v>125.99438476852738</v>
      </c>
      <c r="F62">
        <f>I4/E61</f>
        <v>148.53921749653998</v>
      </c>
    </row>
    <row r="64" spans="4:6" x14ac:dyDescent="0.35">
      <c r="D64" t="s">
        <v>83</v>
      </c>
    </row>
    <row r="65" spans="4:6" x14ac:dyDescent="0.35">
      <c r="D65" t="s">
        <v>81</v>
      </c>
      <c r="E65">
        <f>3.6*EXP(-0.000889*(I5-I4))</f>
        <v>2.2403766769603872</v>
      </c>
    </row>
    <row r="66" spans="4:6" x14ac:dyDescent="0.35">
      <c r="D66" t="s">
        <v>84</v>
      </c>
      <c r="E66">
        <f>(1/3.6/0.000889) * (EXP(0.000889*(I5-I4))-1)</f>
        <v>189.62399902241549</v>
      </c>
      <c r="F66">
        <f>(I5-I4)/E65</f>
        <v>238.13378370097772</v>
      </c>
    </row>
    <row r="68" spans="4:6" x14ac:dyDescent="0.35">
      <c r="D68" t="s">
        <v>85</v>
      </c>
    </row>
    <row r="69" spans="4:6" x14ac:dyDescent="0.35">
      <c r="D69" t="s">
        <v>81</v>
      </c>
      <c r="E69">
        <f>3.6*EXP(-0.000889*(I6-I5))</f>
        <v>1.956452002104393</v>
      </c>
    </row>
    <row r="70" spans="4:6" x14ac:dyDescent="0.35">
      <c r="D70" t="s">
        <v>86</v>
      </c>
      <c r="E70">
        <f>(1/3.6/0.000889) * (EXP(0.000889*(I6-I5))-1)</f>
        <v>262.48768470704408</v>
      </c>
      <c r="F70">
        <f>(I6-I5)/E69</f>
        <v>350.6043717209472</v>
      </c>
    </row>
    <row r="72" spans="4:6" x14ac:dyDescent="0.35">
      <c r="D72" t="s">
        <v>87</v>
      </c>
    </row>
    <row r="73" spans="4:6" x14ac:dyDescent="0.35">
      <c r="D73" t="s">
        <v>81</v>
      </c>
      <c r="E73">
        <f>3.6*EXP(-0.000889*(I7-I6))</f>
        <v>1.7085093216251004</v>
      </c>
    </row>
    <row r="74" spans="4:6" x14ac:dyDescent="0.35">
      <c r="D74" t="s">
        <v>88</v>
      </c>
      <c r="E74">
        <f>(1/3.6/0.000889) * (EXP(0.000889*(I7-I6))-1)</f>
        <v>345.9255108482572</v>
      </c>
      <c r="F74">
        <f>(I7-I6)/E73</f>
        <v>490.70371720451442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Black"&amp;11&amp;K008542INTERNA \ Força de Trabalho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5875-F619-4DAB-9065-A9C6EEA39937}">
  <dimension ref="A1:H17"/>
  <sheetViews>
    <sheetView workbookViewId="0">
      <selection activeCell="B2" sqref="B2"/>
    </sheetView>
  </sheetViews>
  <sheetFormatPr defaultRowHeight="14.5" x14ac:dyDescent="0.35"/>
  <cols>
    <col min="2" max="2" width="15.7265625" bestFit="1" customWidth="1"/>
    <col min="3" max="3" width="14.453125" bestFit="1" customWidth="1"/>
    <col min="4" max="4" width="11.453125" bestFit="1" customWidth="1"/>
    <col min="5" max="5" width="30.26953125" bestFit="1" customWidth="1"/>
    <col min="6" max="6" width="23.1796875" bestFit="1" customWidth="1"/>
    <col min="7" max="7" width="7.453125" bestFit="1" customWidth="1"/>
    <col min="8" max="8" width="17.1796875" bestFit="1" customWidth="1"/>
  </cols>
  <sheetData>
    <row r="1" spans="1:8" x14ac:dyDescent="0.3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</row>
    <row r="2" spans="1:8" x14ac:dyDescent="0.35">
      <c r="A2" t="s">
        <v>8</v>
      </c>
      <c r="B2" s="4">
        <v>673.46966599999996</v>
      </c>
      <c r="C2" s="4">
        <v>2641.0795898000001</v>
      </c>
      <c r="D2" s="4">
        <v>2633.5866698999998</v>
      </c>
      <c r="E2" s="4">
        <f>AVERAGE(C2:D2)</f>
        <v>2637.3331298499998</v>
      </c>
      <c r="F2" s="4">
        <f t="shared" ref="F2:F16" si="0">B2+E2</f>
        <v>3310.8027958499997</v>
      </c>
      <c r="G2" s="4"/>
      <c r="H2" s="4"/>
    </row>
    <row r="3" spans="1:8" x14ac:dyDescent="0.35">
      <c r="A3" t="s">
        <v>10</v>
      </c>
      <c r="B3" s="4">
        <v>785.59307899999999</v>
      </c>
      <c r="C3" s="4">
        <v>2698.9992676000002</v>
      </c>
      <c r="D3" s="4">
        <v>2696.6701659999999</v>
      </c>
      <c r="E3" s="4">
        <f>AVERAGE(C3:D3)</f>
        <v>2697.8347168</v>
      </c>
      <c r="F3" s="4">
        <f t="shared" si="0"/>
        <v>3483.4277958000002</v>
      </c>
      <c r="G3" s="4"/>
      <c r="H3" s="4"/>
    </row>
    <row r="4" spans="1:8" x14ac:dyDescent="0.35">
      <c r="A4" t="s">
        <v>12</v>
      </c>
      <c r="B4" s="4">
        <v>746.78564500000005</v>
      </c>
      <c r="C4" s="4">
        <v>2374.9118652000002</v>
      </c>
      <c r="D4" s="4">
        <v>2373.4619140999998</v>
      </c>
      <c r="E4" s="4">
        <f t="shared" ref="E4:E16" si="1">AVERAGE(C4:D4)</f>
        <v>2374.18688965</v>
      </c>
      <c r="F4" s="4">
        <f t="shared" si="0"/>
        <v>3120.9725346499999</v>
      </c>
      <c r="G4" s="4"/>
      <c r="H4" s="4"/>
    </row>
    <row r="5" spans="1:8" x14ac:dyDescent="0.35">
      <c r="A5" t="s">
        <v>14</v>
      </c>
      <c r="B5" s="4">
        <v>515.41625999999997</v>
      </c>
      <c r="C5" s="4">
        <v>2700.6276855000001</v>
      </c>
      <c r="D5" s="4">
        <v>2698.5129394999999</v>
      </c>
      <c r="E5" s="4">
        <f t="shared" si="1"/>
        <v>2699.5703125</v>
      </c>
      <c r="F5" s="4">
        <f t="shared" si="0"/>
        <v>3214.9865725</v>
      </c>
      <c r="G5" s="4"/>
      <c r="H5" s="4"/>
    </row>
    <row r="6" spans="1:8" x14ac:dyDescent="0.35">
      <c r="A6" t="s">
        <v>16</v>
      </c>
      <c r="B6" s="4">
        <v>480.42385899999999</v>
      </c>
      <c r="C6" s="4">
        <v>2478.6408691000001</v>
      </c>
      <c r="D6" s="4">
        <v>2474.5217284999999</v>
      </c>
      <c r="E6" s="4">
        <f t="shared" si="1"/>
        <v>2476.5812987999998</v>
      </c>
      <c r="F6" s="4">
        <f t="shared" si="0"/>
        <v>2957.0051577999998</v>
      </c>
      <c r="G6" s="4"/>
      <c r="H6" s="4"/>
    </row>
    <row r="7" spans="1:8" x14ac:dyDescent="0.35">
      <c r="A7" t="s">
        <v>18</v>
      </c>
      <c r="B7" s="4">
        <v>749.72247300000004</v>
      </c>
      <c r="C7" s="4">
        <v>2517.0419922000001</v>
      </c>
      <c r="D7" s="4">
        <v>2515.0554198999998</v>
      </c>
      <c r="E7" s="4">
        <f t="shared" si="1"/>
        <v>2516.04870605</v>
      </c>
      <c r="F7" s="4">
        <f t="shared" si="0"/>
        <v>3265.7711790499998</v>
      </c>
      <c r="G7" s="4"/>
      <c r="H7" s="4"/>
    </row>
    <row r="8" spans="1:8" x14ac:dyDescent="0.35">
      <c r="A8" t="s">
        <v>20</v>
      </c>
      <c r="B8" s="4">
        <v>741.23681599999998</v>
      </c>
      <c r="C8" s="4">
        <v>2480.0161133000001</v>
      </c>
      <c r="D8" s="4">
        <v>2475.6911620999999</v>
      </c>
      <c r="E8" s="4">
        <f t="shared" si="1"/>
        <v>2477.8536377</v>
      </c>
      <c r="F8" s="4">
        <f t="shared" si="0"/>
        <v>3219.0904537000001</v>
      </c>
      <c r="G8" s="4"/>
      <c r="H8" s="4"/>
    </row>
    <row r="9" spans="1:8" x14ac:dyDescent="0.35">
      <c r="A9" t="s">
        <v>22</v>
      </c>
      <c r="B9" s="4">
        <v>740.93969700000002</v>
      </c>
      <c r="C9" s="4">
        <v>2445.0944823999998</v>
      </c>
      <c r="D9" s="4">
        <v>2441.8303222999998</v>
      </c>
      <c r="E9" s="4">
        <f t="shared" si="1"/>
        <v>2443.46240235</v>
      </c>
      <c r="F9" s="4">
        <f t="shared" si="0"/>
        <v>3184.4020993499998</v>
      </c>
      <c r="G9" s="4"/>
      <c r="H9" s="4"/>
    </row>
    <row r="10" spans="1:8" x14ac:dyDescent="0.35">
      <c r="A10" t="s">
        <v>24</v>
      </c>
      <c r="B10" s="4">
        <v>720.38855000000001</v>
      </c>
      <c r="C10" s="4">
        <v>2741.0532226999999</v>
      </c>
      <c r="D10" s="4">
        <v>2737.4802245999999</v>
      </c>
      <c r="E10" s="4">
        <f t="shared" si="1"/>
        <v>2739.2667236500001</v>
      </c>
      <c r="F10" s="4">
        <f t="shared" si="0"/>
        <v>3459.6552736500003</v>
      </c>
      <c r="G10" s="4"/>
      <c r="H10" s="4"/>
    </row>
    <row r="11" spans="1:8" x14ac:dyDescent="0.35">
      <c r="A11" t="s">
        <v>26</v>
      </c>
      <c r="B11" s="4">
        <v>718.43048099999999</v>
      </c>
      <c r="C11" s="4">
        <v>2554.5012207</v>
      </c>
      <c r="D11" s="4">
        <v>2549.8442383000001</v>
      </c>
      <c r="E11" s="4">
        <f t="shared" si="1"/>
        <v>2552.1727295000001</v>
      </c>
      <c r="F11" s="4">
        <f t="shared" si="0"/>
        <v>3270.6032104999999</v>
      </c>
      <c r="G11" s="4"/>
      <c r="H11" s="4"/>
    </row>
    <row r="12" spans="1:8" x14ac:dyDescent="0.35">
      <c r="A12" t="s">
        <v>28</v>
      </c>
      <c r="B12" s="4">
        <v>790.76275599999997</v>
      </c>
      <c r="C12" s="4">
        <v>2735.1972655999998</v>
      </c>
      <c r="D12" s="4">
        <v>2729.9404297000001</v>
      </c>
      <c r="E12" s="4">
        <f t="shared" si="1"/>
        <v>2732.56884765</v>
      </c>
      <c r="F12" s="4">
        <f t="shared" si="0"/>
        <v>3523.33160365</v>
      </c>
      <c r="G12" s="4"/>
      <c r="H12" s="4"/>
    </row>
    <row r="13" spans="1:8" x14ac:dyDescent="0.35">
      <c r="A13" t="s">
        <v>30</v>
      </c>
      <c r="B13" s="4">
        <v>748.04974400000003</v>
      </c>
      <c r="C13" s="4">
        <v>2400.0583495999999</v>
      </c>
      <c r="D13" s="4">
        <v>2396.8540039</v>
      </c>
      <c r="E13" s="4">
        <f t="shared" si="1"/>
        <v>2398.4561767499999</v>
      </c>
      <c r="F13" s="4">
        <f t="shared" si="0"/>
        <v>3146.5059207499999</v>
      </c>
      <c r="G13" s="4"/>
      <c r="H13" s="4"/>
    </row>
    <row r="14" spans="1:8" x14ac:dyDescent="0.35">
      <c r="A14" t="s">
        <v>32</v>
      </c>
      <c r="B14" s="4">
        <v>807.04040499999996</v>
      </c>
      <c r="C14" s="4">
        <v>2508.1245116999999</v>
      </c>
      <c r="D14" s="4">
        <v>2503.9309082</v>
      </c>
      <c r="E14" s="4">
        <f t="shared" si="1"/>
        <v>2506.0277099499999</v>
      </c>
      <c r="F14" s="4">
        <f t="shared" si="0"/>
        <v>3313.0681149499997</v>
      </c>
      <c r="G14" s="4"/>
      <c r="H14" s="4"/>
    </row>
    <row r="15" spans="1:8" x14ac:dyDescent="0.35">
      <c r="A15" t="s">
        <v>34</v>
      </c>
      <c r="B15" s="4">
        <v>768.24841300000003</v>
      </c>
      <c r="C15" s="4">
        <v>2509.3962402000002</v>
      </c>
      <c r="D15" s="4">
        <v>2507.0549316000001</v>
      </c>
      <c r="E15" s="4">
        <f t="shared" si="1"/>
        <v>2508.2255859000002</v>
      </c>
      <c r="F15" s="4">
        <f t="shared" si="0"/>
        <v>3276.4739989</v>
      </c>
      <c r="G15" s="4"/>
      <c r="H15" s="4"/>
    </row>
    <row r="16" spans="1:8" x14ac:dyDescent="0.35">
      <c r="A16" t="s">
        <v>36</v>
      </c>
      <c r="B16" s="4">
        <v>761.53912400000002</v>
      </c>
      <c r="C16" s="4">
        <v>2451.4777832</v>
      </c>
      <c r="D16" s="4">
        <v>2447.6274414</v>
      </c>
      <c r="E16" s="4">
        <f t="shared" si="1"/>
        <v>2449.5526123</v>
      </c>
      <c r="F16" s="4">
        <f t="shared" si="0"/>
        <v>3211.0917362999999</v>
      </c>
      <c r="G16" s="4"/>
      <c r="H16" s="4"/>
    </row>
    <row r="17" spans="2:6" x14ac:dyDescent="0.35">
      <c r="B17" s="4"/>
      <c r="C17" s="4"/>
      <c r="D17" s="4"/>
      <c r="E17" s="4"/>
      <c r="F17" s="4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162E-A2FD-4B65-90AB-853E28FE4979}">
  <dimension ref="A1:H15"/>
  <sheetViews>
    <sheetView workbookViewId="0">
      <selection activeCell="H13" sqref="H13"/>
    </sheetView>
  </sheetViews>
  <sheetFormatPr defaultRowHeight="14.5" x14ac:dyDescent="0.35"/>
  <cols>
    <col min="2" max="2" width="15.7265625" bestFit="1" customWidth="1"/>
    <col min="3" max="3" width="14.453125" bestFit="1" customWidth="1"/>
    <col min="4" max="4" width="11.81640625" bestFit="1" customWidth="1"/>
    <col min="5" max="5" width="25.7265625" customWidth="1"/>
    <col min="6" max="6" width="23.1796875" bestFit="1" customWidth="1"/>
    <col min="8" max="8" width="17.453125" customWidth="1"/>
  </cols>
  <sheetData>
    <row r="1" spans="1:8" x14ac:dyDescent="0.3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</row>
    <row r="2" spans="1:8" x14ac:dyDescent="0.35">
      <c r="A2" t="s">
        <v>9</v>
      </c>
      <c r="B2" s="4">
        <v>796.10247800000002</v>
      </c>
      <c r="C2" s="4">
        <v>2712.8527832</v>
      </c>
      <c r="D2" s="4">
        <v>2694.1262207</v>
      </c>
      <c r="E2" s="4">
        <f t="shared" ref="E2:E15" si="0">AVERAGE(C2:D2)</f>
        <v>2703.48950195</v>
      </c>
      <c r="F2" s="4">
        <f t="shared" ref="F2:F15" si="1">B2+E2</f>
        <v>3499.5919799499998</v>
      </c>
      <c r="G2" s="4"/>
      <c r="H2" s="4"/>
    </row>
    <row r="3" spans="1:8" x14ac:dyDescent="0.35">
      <c r="A3" t="s">
        <v>11</v>
      </c>
      <c r="B3" s="4">
        <v>951.20953399999996</v>
      </c>
      <c r="C3" s="4">
        <v>2723.0761719000002</v>
      </c>
      <c r="D3" s="4">
        <v>2720.9731445000002</v>
      </c>
      <c r="E3" s="4">
        <f t="shared" si="0"/>
        <v>2722.0246582</v>
      </c>
      <c r="F3" s="4">
        <f t="shared" si="1"/>
        <v>3673.2341922000001</v>
      </c>
      <c r="G3" s="4"/>
      <c r="H3" s="4"/>
    </row>
    <row r="4" spans="1:8" x14ac:dyDescent="0.35">
      <c r="A4" t="s">
        <v>13</v>
      </c>
      <c r="B4" s="4">
        <v>724.09991500000001</v>
      </c>
      <c r="C4" s="4">
        <v>2363.0881347999998</v>
      </c>
      <c r="D4" s="4">
        <v>2362.6528320000002</v>
      </c>
      <c r="E4" s="4">
        <f t="shared" si="0"/>
        <v>2362.8704834</v>
      </c>
      <c r="F4" s="4">
        <f t="shared" si="1"/>
        <v>3086.9703983999998</v>
      </c>
      <c r="G4" s="4"/>
      <c r="H4" s="4"/>
    </row>
    <row r="5" spans="1:8" x14ac:dyDescent="0.35">
      <c r="A5" t="s">
        <v>15</v>
      </c>
      <c r="B5" s="4">
        <v>744.49114999999995</v>
      </c>
      <c r="C5" s="4">
        <v>2379.1496582</v>
      </c>
      <c r="D5" s="4">
        <v>2375.4038086</v>
      </c>
      <c r="E5" s="4">
        <f t="shared" si="0"/>
        <v>2377.2767334</v>
      </c>
      <c r="F5" s="4">
        <f t="shared" si="1"/>
        <v>3121.7678833999998</v>
      </c>
      <c r="G5" s="4"/>
      <c r="H5" s="4"/>
    </row>
    <row r="6" spans="1:8" x14ac:dyDescent="0.35">
      <c r="A6" t="s">
        <v>17</v>
      </c>
      <c r="B6" s="4">
        <v>445.526184</v>
      </c>
      <c r="C6" s="4">
        <v>2323.1008301000002</v>
      </c>
      <c r="D6" s="4">
        <v>2318.4582519999999</v>
      </c>
      <c r="E6" s="4">
        <f t="shared" si="0"/>
        <v>2320.7795410500003</v>
      </c>
      <c r="F6" s="4">
        <f t="shared" si="1"/>
        <v>2766.3057250500001</v>
      </c>
      <c r="G6" s="4"/>
      <c r="H6" s="4"/>
    </row>
    <row r="7" spans="1:8" x14ac:dyDescent="0.35">
      <c r="A7" t="s">
        <v>19</v>
      </c>
      <c r="B7" s="4">
        <v>766.806152</v>
      </c>
      <c r="C7" s="4">
        <v>2527.8034668</v>
      </c>
      <c r="D7" s="4">
        <v>2524.8586426000002</v>
      </c>
      <c r="E7" s="4">
        <f t="shared" si="0"/>
        <v>2526.3310547000001</v>
      </c>
      <c r="F7" s="4">
        <f t="shared" si="1"/>
        <v>3293.1372067000002</v>
      </c>
      <c r="G7" s="4"/>
      <c r="H7" s="4"/>
    </row>
    <row r="8" spans="1:8" x14ac:dyDescent="0.35">
      <c r="A8" t="s">
        <v>21</v>
      </c>
      <c r="B8" s="4">
        <v>775.92382799999996</v>
      </c>
      <c r="C8" s="4">
        <v>2473.5429687999999</v>
      </c>
      <c r="D8" s="4">
        <v>2469.4970702999999</v>
      </c>
      <c r="E8" s="4">
        <f t="shared" si="0"/>
        <v>2471.5200195500001</v>
      </c>
      <c r="F8" s="4">
        <f t="shared" si="1"/>
        <v>3247.4438475500001</v>
      </c>
      <c r="G8" s="4"/>
      <c r="H8" s="4"/>
    </row>
    <row r="9" spans="1:8" x14ac:dyDescent="0.35">
      <c r="A9" t="s">
        <v>23</v>
      </c>
      <c r="B9" s="4">
        <v>901.79278599999998</v>
      </c>
      <c r="C9" s="4">
        <v>2453.5195312000001</v>
      </c>
      <c r="D9" s="4">
        <v>2452.1372070000002</v>
      </c>
      <c r="E9" s="4">
        <f t="shared" si="0"/>
        <v>2452.8283691000001</v>
      </c>
      <c r="F9" s="4">
        <f t="shared" si="1"/>
        <v>3354.6211551000001</v>
      </c>
      <c r="G9" s="4"/>
      <c r="H9" s="4"/>
    </row>
    <row r="10" spans="1:8" x14ac:dyDescent="0.35">
      <c r="A10" t="s">
        <v>25</v>
      </c>
      <c r="B10" s="4">
        <v>682.28784199999996</v>
      </c>
      <c r="C10" s="4">
        <v>2750.171875</v>
      </c>
      <c r="D10" s="4">
        <v>2748.5766601999999</v>
      </c>
      <c r="E10" s="4">
        <f t="shared" si="0"/>
        <v>2749.3742676000002</v>
      </c>
      <c r="F10" s="4">
        <f t="shared" si="1"/>
        <v>3431.6621095999999</v>
      </c>
      <c r="G10" s="4"/>
      <c r="H10" s="4"/>
    </row>
    <row r="11" spans="1:8" x14ac:dyDescent="0.35">
      <c r="A11" t="s">
        <v>27</v>
      </c>
      <c r="B11" s="4">
        <v>787.01135299999999</v>
      </c>
      <c r="C11" s="4">
        <v>2599.3674316000001</v>
      </c>
      <c r="D11" s="4">
        <v>2597.0964355000001</v>
      </c>
      <c r="E11" s="4">
        <f t="shared" si="0"/>
        <v>2598.2319335500001</v>
      </c>
      <c r="F11" s="4">
        <f t="shared" si="1"/>
        <v>3385.24328655</v>
      </c>
      <c r="G11" s="4"/>
      <c r="H11" s="4"/>
    </row>
    <row r="12" spans="1:8" x14ac:dyDescent="0.35">
      <c r="A12" t="s">
        <v>29</v>
      </c>
      <c r="B12" s="4">
        <v>766.94171100000005</v>
      </c>
      <c r="C12" s="4">
        <v>2472.5256347999998</v>
      </c>
      <c r="D12" s="4">
        <v>2470.4890137000002</v>
      </c>
      <c r="E12" s="4">
        <f t="shared" si="0"/>
        <v>2471.5073242500002</v>
      </c>
      <c r="F12" s="4">
        <f t="shared" si="1"/>
        <v>3238.4490352500002</v>
      </c>
      <c r="G12" s="4"/>
      <c r="H12" s="4"/>
    </row>
    <row r="13" spans="1:8" x14ac:dyDescent="0.35">
      <c r="A13" t="s">
        <v>31</v>
      </c>
      <c r="B13" s="4">
        <v>688.44409199999996</v>
      </c>
      <c r="C13" s="4">
        <v>2606.7910155999998</v>
      </c>
      <c r="D13" s="4">
        <v>2604.0605469000002</v>
      </c>
      <c r="E13" s="4">
        <f t="shared" si="0"/>
        <v>2605.42578125</v>
      </c>
      <c r="F13" s="4">
        <f t="shared" si="1"/>
        <v>3293.8698732499997</v>
      </c>
      <c r="G13" s="4"/>
      <c r="H13" s="4"/>
    </row>
    <row r="14" spans="1:8" x14ac:dyDescent="0.35">
      <c r="A14" t="s">
        <v>33</v>
      </c>
      <c r="B14" s="4">
        <v>715.912598</v>
      </c>
      <c r="C14" s="4">
        <v>2644.9421387000002</v>
      </c>
      <c r="D14" s="4">
        <v>2642.3317870999999</v>
      </c>
      <c r="E14" s="4">
        <f t="shared" si="0"/>
        <v>2643.6369629000001</v>
      </c>
      <c r="F14" s="4">
        <f t="shared" si="1"/>
        <v>3359.5495609</v>
      </c>
      <c r="G14" s="4"/>
      <c r="H14" s="4"/>
    </row>
    <row r="15" spans="1:8" x14ac:dyDescent="0.35">
      <c r="A15" t="s">
        <v>35</v>
      </c>
      <c r="B15" s="4">
        <v>460.46951300000001</v>
      </c>
      <c r="C15" s="4">
        <v>2477.3000487999998</v>
      </c>
      <c r="D15" s="4">
        <v>2475.8969726999999</v>
      </c>
      <c r="E15" s="4">
        <f t="shared" si="0"/>
        <v>2476.5985107500001</v>
      </c>
      <c r="F15" s="4">
        <f t="shared" si="1"/>
        <v>2937.0680237500001</v>
      </c>
      <c r="G15" s="4"/>
      <c r="H15" s="4"/>
    </row>
  </sheetData>
  <phoneticPr fontId="2" type="noConversion"/>
  <pageMargins left="0.511811024" right="0.511811024" top="0.78740157499999996" bottom="0.78740157499999996" header="0.31496062000000002" footer="0.31496062000000002"/>
  <ignoredErrors>
    <ignoredError sqref="E4 E5:F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Cronograma_Perfuração</vt:lpstr>
      <vt:lpstr>Tempo de Construção do Poço</vt:lpstr>
      <vt:lpstr>Produtores</vt:lpstr>
      <vt:lpstr>Injetores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Hygor Vinicius Costa Silva</dc:creator>
  <cp:keywords/>
  <dc:description/>
  <cp:lastModifiedBy>Hygor Vinicius Costa Silva</cp:lastModifiedBy>
  <cp:revision/>
  <dcterms:created xsi:type="dcterms:W3CDTF">2015-06-05T18:17:20Z</dcterms:created>
  <dcterms:modified xsi:type="dcterms:W3CDTF">2023-03-18T12:26:34Z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2023-03-13T00:25:57Z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ea896d76-573f-4608-a429-593b1439daa9</vt:lpwstr>
  </property>
  <property fmtid="{D5CDD505-2E9C-101B-9397-08002B2CF9AE}" pid="8" name="MSIP_Label_140b9f7d-8e3a-482f-9702-4b7ffc40985a_ContentBits">
    <vt:lpwstr>2</vt:lpwstr>
  </property>
</Properties>
</file>