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faelanderka/Desktop/Trajectory Sims/18-19 Trajectory Sim/Parameters/"/>
    </mc:Choice>
  </mc:AlternateContent>
  <xr:revisionPtr revIDLastSave="0" documentId="13_ncr:1_{3910ADD0-8A03-794E-80B4-423A97896BE4}" xr6:coauthVersionLast="38" xr6:coauthVersionMax="38" xr10:uidLastSave="{00000000-0000-0000-0000-000000000000}"/>
  <bookViews>
    <workbookView xWindow="0" yWindow="440" windowWidth="24880" windowHeight="9560" tabRatio="500" xr2:uid="{00000000-000D-0000-FFFF-FFFF00000000}"/>
  </bookViews>
  <sheets>
    <sheet name="Constants" sheetId="1" r:id="rId1"/>
    <sheet name="Magnets" sheetId="2" r:id="rId2"/>
    <sheet name="Levitation Arrays" sheetId="3" r:id="rId3"/>
    <sheet name="Braking Arrays" sheetId="4" r:id="rId4"/>
    <sheet name="Trajectory" sheetId="5" r:id="rId5"/>
    <sheet name="Centre of Mass" sheetId="6" r:id="rId6"/>
    <sheet name="Suspension" sheetId="7" r:id="rId7"/>
  </sheets>
  <externalReferences>
    <externalReference r:id="rId8"/>
  </externalReferences>
  <calcPr calcId="1790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6" l="1"/>
  <c r="J3" i="6"/>
  <c r="W4" i="6"/>
  <c r="Y4" i="6"/>
  <c r="AE4" i="6"/>
  <c r="AC4" i="6"/>
  <c r="W5" i="6"/>
  <c r="Y5" i="6"/>
  <c r="AE5" i="6"/>
  <c r="AC5" i="6"/>
  <c r="W6" i="6"/>
  <c r="Y6" i="6"/>
  <c r="AE6" i="6"/>
  <c r="AC6" i="6"/>
  <c r="W7" i="6"/>
  <c r="Y7" i="6"/>
  <c r="AE7" i="6"/>
  <c r="AC7" i="6"/>
  <c r="W8" i="6"/>
  <c r="Y8" i="6"/>
  <c r="AE8" i="6"/>
  <c r="AC8" i="6"/>
  <c r="W9" i="6"/>
  <c r="Y9" i="6"/>
  <c r="AE9" i="6"/>
  <c r="AC9" i="6"/>
  <c r="AE10" i="6"/>
  <c r="AC10" i="6"/>
  <c r="C3" i="6"/>
  <c r="C10" i="6"/>
  <c r="C5" i="6"/>
  <c r="C9" i="6"/>
  <c r="K3" i="6"/>
  <c r="X7" i="6"/>
  <c r="AD7" i="6"/>
  <c r="C8" i="6"/>
  <c r="C7" i="6"/>
  <c r="I3" i="6"/>
  <c r="V7" i="6"/>
  <c r="AB7" i="6"/>
  <c r="C6" i="6"/>
  <c r="X4" i="6"/>
  <c r="AD4" i="6"/>
  <c r="X5" i="6"/>
  <c r="AD5" i="6"/>
  <c r="X6" i="6"/>
  <c r="AD6" i="6"/>
  <c r="X8" i="6"/>
  <c r="AD8" i="6"/>
  <c r="AD9" i="6"/>
  <c r="AD10" i="6"/>
  <c r="C4" i="6"/>
  <c r="V4" i="6"/>
  <c r="AB4" i="6"/>
  <c r="V5" i="6"/>
  <c r="AB5" i="6"/>
  <c r="V6" i="6"/>
  <c r="AB6" i="6"/>
  <c r="V8" i="6"/>
  <c r="AB8" i="6"/>
  <c r="AB9" i="6"/>
  <c r="AB10" i="6"/>
  <c r="C2" i="6"/>
  <c r="D11" i="4"/>
  <c r="D5" i="4"/>
  <c r="D6" i="4"/>
  <c r="D10" i="4"/>
  <c r="D9" i="4"/>
  <c r="D8" i="4"/>
  <c r="D7" i="4"/>
  <c r="D11" i="3"/>
  <c r="D12" i="3"/>
  <c r="D13" i="3"/>
  <c r="D6" i="3"/>
  <c r="D10" i="3"/>
  <c r="D9" i="3"/>
  <c r="D8" i="3"/>
  <c r="D7" i="3"/>
  <c r="D11" i="2"/>
  <c r="D10" i="2"/>
  <c r="D9" i="2"/>
  <c r="D4" i="2"/>
  <c r="AA10" i="6"/>
  <c r="AA9" i="6"/>
  <c r="U8" i="6"/>
  <c r="AA8" i="6"/>
  <c r="U7" i="6"/>
  <c r="AA7" i="6"/>
  <c r="U6" i="6"/>
  <c r="AA6" i="6"/>
  <c r="U5" i="6"/>
  <c r="AA5" i="6"/>
  <c r="U4" i="6"/>
  <c r="AA4" i="6"/>
</calcChain>
</file>

<file path=xl/sharedStrings.xml><?xml version="1.0" encoding="utf-8"?>
<sst xmlns="http://schemas.openxmlformats.org/spreadsheetml/2006/main" count="257" uniqueCount="152">
  <si>
    <t>Fixed (Constant) Parameters</t>
  </si>
  <si>
    <t>Parameters</t>
  </si>
  <si>
    <t>(Symbols)</t>
  </si>
  <si>
    <t>Matlab Variables</t>
  </si>
  <si>
    <t>Magnitudes</t>
  </si>
  <si>
    <t>Units</t>
  </si>
  <si>
    <t>Thickness of the Track</t>
  </si>
  <si>
    <t>ΔC</t>
  </si>
  <si>
    <t>deltaC</t>
  </si>
  <si>
    <t>m</t>
  </si>
  <si>
    <t>Resistivity of Al 6101-T61</t>
  </si>
  <si>
    <t>ρ</t>
  </si>
  <si>
    <t>rho</t>
  </si>
  <si>
    <t>Ohm m</t>
  </si>
  <si>
    <t>Permeability of free space</t>
  </si>
  <si>
    <r>
      <rPr>
        <sz val="12"/>
        <rFont val="Arial"/>
      </rPr>
      <t>μ</t>
    </r>
    <r>
      <rPr>
        <vertAlign val="subscript"/>
        <sz val="12"/>
        <rFont val="Arial"/>
      </rPr>
      <t>0</t>
    </r>
  </si>
  <si>
    <t>mu0</t>
  </si>
  <si>
    <r>
      <rPr>
        <sz val="12"/>
        <rFont val="Arial"/>
      </rPr>
      <t>m kg s</t>
    </r>
    <r>
      <rPr>
        <vertAlign val="superscript"/>
        <sz val="12"/>
        <rFont val="Arial"/>
      </rPr>
      <t>-2</t>
    </r>
    <r>
      <rPr>
        <sz val="12"/>
        <rFont val="Arial"/>
      </rPr>
      <t xml:space="preserve"> A</t>
    </r>
    <r>
      <rPr>
        <vertAlign val="superscript"/>
        <sz val="12"/>
        <rFont val="Arial"/>
      </rPr>
      <t>-2</t>
    </r>
  </si>
  <si>
    <t>Height of the rollers</t>
  </si>
  <si>
    <t>rollerHeight</t>
  </si>
  <si>
    <t>Vertical acceleration due to gravity</t>
  </si>
  <si>
    <t>g</t>
  </si>
  <si>
    <r>
      <rPr>
        <sz val="12"/>
        <rFont val="Arial"/>
      </rPr>
      <t>m s</t>
    </r>
    <r>
      <rPr>
        <vertAlign val="superscript"/>
        <sz val="12"/>
        <rFont val="Arial"/>
      </rPr>
      <t>-2</t>
    </r>
  </si>
  <si>
    <t>Minimum distance between the brakes and the rails</t>
  </si>
  <si>
    <t>brakingGapMin</t>
  </si>
  <si>
    <t>brakingGapMax</t>
  </si>
  <si>
    <t>Moment of Inertia of Pod</t>
  </si>
  <si>
    <r>
      <rPr>
        <sz val="12"/>
        <rFont val="Arial"/>
      </rPr>
      <t>I</t>
    </r>
    <r>
      <rPr>
        <vertAlign val="subscript"/>
        <sz val="12"/>
        <rFont val="Arial"/>
      </rPr>
      <t>yy</t>
    </r>
  </si>
  <si>
    <t>Iyy</t>
  </si>
  <si>
    <r>
      <rPr>
        <sz val="12"/>
        <rFont val="Arial"/>
      </rPr>
      <t>kg m</t>
    </r>
    <r>
      <rPr>
        <vertAlign val="superscript"/>
        <sz val="12"/>
        <rFont val="Arial"/>
      </rPr>
      <t>2</t>
    </r>
  </si>
  <si>
    <t>Thickness of the Rail</t>
  </si>
  <si>
    <t>deltaCx</t>
  </si>
  <si>
    <t>Mass of the pod</t>
  </si>
  <si>
    <t>M</t>
  </si>
  <si>
    <t>kg</t>
  </si>
  <si>
    <t>Information of the NdFeB magnets</t>
  </si>
  <si>
    <t>Remnant Field of the magnet</t>
  </si>
  <si>
    <t>Br</t>
  </si>
  <si>
    <t>Tesla</t>
  </si>
  <si>
    <t>Mass of the magnet</t>
  </si>
  <si>
    <t>mMag</t>
  </si>
  <si>
    <t>Length of the magnet</t>
  </si>
  <si>
    <t>lMag</t>
  </si>
  <si>
    <t>Width of the magnet</t>
  </si>
  <si>
    <t>wMag</t>
  </si>
  <si>
    <t>Thickness of the magnet (lev)</t>
  </si>
  <si>
    <t>dMag</t>
  </si>
  <si>
    <t>dMag_lev</t>
  </si>
  <si>
    <t>Thickness of the magnet (brake)</t>
  </si>
  <si>
    <t>dMag_brake</t>
  </si>
  <si>
    <t>Cross-section area of the magnet</t>
  </si>
  <si>
    <t>AreaMag</t>
  </si>
  <si>
    <r>
      <rPr>
        <sz val="12"/>
        <rFont val="Arial"/>
      </rPr>
      <t>m</t>
    </r>
    <r>
      <rPr>
        <vertAlign val="superscript"/>
        <sz val="12"/>
        <rFont val="Arial"/>
      </rPr>
      <t>2</t>
    </r>
  </si>
  <si>
    <t>Volume of the magnet (lev)</t>
  </si>
  <si>
    <t>VolMag</t>
  </si>
  <si>
    <t>VolMag_lev</t>
  </si>
  <si>
    <r>
      <rPr>
        <sz val="12"/>
        <rFont val="Arial"/>
      </rPr>
      <t>m</t>
    </r>
    <r>
      <rPr>
        <vertAlign val="superscript"/>
        <sz val="12"/>
        <rFont val="Arial"/>
      </rPr>
      <t>3</t>
    </r>
  </si>
  <si>
    <t>Volume of the magnet (drag)</t>
  </si>
  <si>
    <t>VolMag_brake</t>
  </si>
  <si>
    <t>Parameters for Levitation Arrays</t>
  </si>
  <si>
    <t xml:space="preserve">Number of magnets per wavelength </t>
  </si>
  <si>
    <t>Number of wavelength per array</t>
  </si>
  <si>
    <t>Number of magnets per array</t>
  </si>
  <si>
    <t>Ps. The extra magnet is required to complete halbach array, since there are two rows on magnets on each array.</t>
  </si>
  <si>
    <t>Total number of magnets</t>
  </si>
  <si>
    <t>Length of one array</t>
  </si>
  <si>
    <t>Area of one array</t>
  </si>
  <si>
    <t>Total area of the levitation array</t>
  </si>
  <si>
    <t>AreaLev</t>
  </si>
  <si>
    <t>Total mass of levitaion array</t>
  </si>
  <si>
    <t>mLev</t>
  </si>
  <si>
    <t>Wavelength</t>
  </si>
  <si>
    <t>λ</t>
  </si>
  <si>
    <t>lamda</t>
  </si>
  <si>
    <t>Wave number</t>
  </si>
  <si>
    <t>k</t>
  </si>
  <si>
    <r>
      <rPr>
        <sz val="12"/>
        <rFont val="Arial"/>
      </rPr>
      <t>m</t>
    </r>
    <r>
      <rPr>
        <vertAlign val="superscript"/>
        <sz val="12"/>
        <rFont val="Arial"/>
      </rPr>
      <t>-1</t>
    </r>
  </si>
  <si>
    <t>Magnetic field amplitude of the magnets</t>
  </si>
  <si>
    <t>B0</t>
  </si>
  <si>
    <t>B0_lev</t>
  </si>
  <si>
    <t>Parameters for Braking Arrays</t>
  </si>
  <si>
    <t>Ps. The extra magnet is required to complete halbach array, since there is only 1 rows on magnets on each array.</t>
  </si>
  <si>
    <t>Total area of the braking array</t>
  </si>
  <si>
    <t>AreaBrake</t>
  </si>
  <si>
    <t>Total mass of braking array</t>
  </si>
  <si>
    <t>mbrake</t>
  </si>
  <si>
    <t>mBrake</t>
  </si>
  <si>
    <t>B0_brake</t>
  </si>
  <si>
    <t>Parameters for Trajectory</t>
  </si>
  <si>
    <t>Maximum acceleration of the pod</t>
  </si>
  <si>
    <t>a</t>
  </si>
  <si>
    <t>Displacement for the acceleration</t>
  </si>
  <si>
    <t>s_a</t>
  </si>
  <si>
    <t>Total displacement of the tube</t>
  </si>
  <si>
    <t>s</t>
  </si>
  <si>
    <t>Mtotal</t>
  </si>
  <si>
    <t>Mass of the entire system</t>
  </si>
  <si>
    <t>Geometric centre of the pod will be defined as the middle point between the skis</t>
  </si>
  <si>
    <t>RAW DATA</t>
  </si>
  <si>
    <t>CENTER OF MASS RELATIVE TO GEOMETRIC CENTER</t>
  </si>
  <si>
    <t>EFFECT ON CENTRE OF MASS RELATIVE TO GEOMETRIC CENTRE</t>
  </si>
  <si>
    <t>Xm</t>
  </si>
  <si>
    <t>centre of mass in the X dimension</t>
  </si>
  <si>
    <t>mm</t>
  </si>
  <si>
    <t>dX</t>
  </si>
  <si>
    <t>dY</t>
  </si>
  <si>
    <t>dZ</t>
  </si>
  <si>
    <t>Length (mm)</t>
  </si>
  <si>
    <t>Height (mm)</t>
  </si>
  <si>
    <t>width (mm)</t>
  </si>
  <si>
    <t>Mass (g)</t>
  </si>
  <si>
    <t>Ym</t>
  </si>
  <si>
    <t>centre of mass in the Y dimension</t>
  </si>
  <si>
    <t>X</t>
  </si>
  <si>
    <t>Y</t>
  </si>
  <si>
    <t>Z</t>
  </si>
  <si>
    <t>Zm</t>
  </si>
  <si>
    <t>centre of mass in the Z dimension</t>
  </si>
  <si>
    <t>Central Pod</t>
  </si>
  <si>
    <t>mDyn</t>
  </si>
  <si>
    <t>Mass of one dynamic array</t>
  </si>
  <si>
    <t>Rear Left ski</t>
  </si>
  <si>
    <t>XdynFR</t>
  </si>
  <si>
    <t>Centre of mass of the front right dynamic array</t>
  </si>
  <si>
    <t>Rear Right Ski</t>
  </si>
  <si>
    <t>YdynFR</t>
  </si>
  <si>
    <t>Front Right Ski</t>
  </si>
  <si>
    <t>ZdynFR</t>
  </si>
  <si>
    <t>Front Left Ski</t>
  </si>
  <si>
    <t>mPod</t>
  </si>
  <si>
    <t>Mass of only the pod and internals</t>
  </si>
  <si>
    <t>Dummy</t>
  </si>
  <si>
    <t>PPheight</t>
  </si>
  <si>
    <t>Height of the pusher plate relative to centre of mass</t>
  </si>
  <si>
    <t>Pusher Plate</t>
  </si>
  <si>
    <t>Parameters for Suspension</t>
  </si>
  <si>
    <t>Spring constant</t>
  </si>
  <si>
    <t>K</t>
  </si>
  <si>
    <r>
      <rPr>
        <sz val="12"/>
        <rFont val="Arial"/>
      </rPr>
      <t>N m</t>
    </r>
    <r>
      <rPr>
        <vertAlign val="superscript"/>
        <sz val="12"/>
        <rFont val="Arial"/>
      </rPr>
      <t>-1</t>
    </r>
  </si>
  <si>
    <t>Damping coeffecient of the shock</t>
  </si>
  <si>
    <t>c</t>
  </si>
  <si>
    <r>
      <rPr>
        <sz val="12"/>
        <rFont val="Arial"/>
      </rPr>
      <t>Ns m</t>
    </r>
    <r>
      <rPr>
        <vertAlign val="superscript"/>
        <sz val="12"/>
        <rFont val="Arial"/>
      </rPr>
      <t>-1</t>
    </r>
  </si>
  <si>
    <t>Bell crank ratio</t>
  </si>
  <si>
    <t>r</t>
  </si>
  <si>
    <t>r_BC</t>
  </si>
  <si>
    <t>Maximum distance between the brakes and the rails</t>
  </si>
  <si>
    <t>(1600 feet)</t>
  </si>
  <si>
    <t>Wheelbase of the pod</t>
  </si>
  <si>
    <t>Wb</t>
  </si>
  <si>
    <t>s = u + 0.5at^2</t>
  </si>
  <si>
    <t>sqrt(2s/a)</t>
  </si>
  <si>
    <t>4150 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</si>
</sst>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  <charset val="1"/>
    </font>
    <font>
      <b/>
      <u/>
      <sz val="14"/>
      <name val="Arial"/>
    </font>
    <font>
      <b/>
      <i/>
      <sz val="12"/>
      <name val="Arial"/>
    </font>
    <font>
      <sz val="12"/>
      <name val="Arial"/>
    </font>
    <font>
      <sz val="12"/>
      <color rgb="FFCC0000"/>
      <name val="Arial"/>
    </font>
    <font>
      <sz val="12"/>
      <name val="Arial"/>
    </font>
    <font>
      <i/>
      <sz val="12"/>
      <name val="Arial"/>
    </font>
    <font>
      <b/>
      <u/>
      <sz val="13"/>
      <name val="Arial"/>
    </font>
    <font>
      <vertAlign val="superscript"/>
      <sz val="12"/>
      <name val="Arial"/>
    </font>
    <font>
      <vertAlign val="subscript"/>
      <sz val="12"/>
      <name val="Arial"/>
    </font>
    <font>
      <sz val="12"/>
      <name val="Arial"/>
      <family val="2"/>
    </font>
    <font>
      <sz val="13"/>
      <name val="Arial"/>
      <family val="2"/>
    </font>
    <font>
      <sz val="10"/>
      <name val="Arial"/>
      <charset val="1"/>
    </font>
    <font>
      <b/>
      <sz val="12"/>
      <color rgb="FF000000"/>
      <name val="Calibri"/>
    </font>
    <font>
      <sz val="9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18">
    <xf numFmtId="0" fontId="0" fillId="0" borderId="0" xfId="0">
      <alignment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>
      <alignment vertical="top"/>
    </xf>
    <xf numFmtId="0" fontId="1" fillId="0" borderId="0" xfId="0" applyFont="1">
      <alignment vertical="top"/>
    </xf>
    <xf numFmtId="0" fontId="5" fillId="0" borderId="0" xfId="0" applyFont="1" applyAlignment="1">
      <alignment horizontal="center" vertical="top"/>
    </xf>
    <xf numFmtId="0" fontId="6" fillId="0" borderId="0" xfId="0" applyFont="1">
      <alignment vertical="top"/>
    </xf>
    <xf numFmtId="11" fontId="3" fillId="0" borderId="0" xfId="0" applyNumberFormat="1" applyFont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2" fillId="0" borderId="0" xfId="0" applyFont="1">
      <alignment vertical="top"/>
    </xf>
    <xf numFmtId="0" fontId="13" fillId="0" borderId="0" xfId="0" applyFont="1">
      <alignment vertical="top"/>
    </xf>
    <xf numFmtId="0" fontId="11" fillId="0" borderId="0" xfId="0" applyFont="1" applyFill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0" fontId="12" fillId="0" borderId="0" xfId="0" applyFont="1" applyAlignment="1">
      <alignment vertical="top"/>
    </xf>
    <xf numFmtId="0" fontId="7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rturas/Google%20Drive/HYPED%2017_18/Technical%20Team/Simulation/Propulsion%20Module/Halbach%20Wheels/MATLAB/Trajectory%20Simulation/Parameters/parame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Magnets"/>
      <sheetName val="Levitation Arrays"/>
      <sheetName val="Braking Arrays"/>
      <sheetName val="Trajectory"/>
      <sheetName val="Centre of Mass"/>
      <sheetName val="Suspension"/>
    </sheetNames>
    <sheetDataSet>
      <sheetData sheetId="0"/>
      <sheetData sheetId="1">
        <row r="3">
          <cell r="D3">
            <v>1.45</v>
          </cell>
        </row>
        <row r="4">
          <cell r="D4">
            <v>0.1171875</v>
          </cell>
        </row>
        <row r="5">
          <cell r="D5">
            <v>2.5000000000000001E-2</v>
          </cell>
        </row>
        <row r="6">
          <cell r="D6">
            <v>2.5000000000000001E-2</v>
          </cell>
        </row>
        <row r="7">
          <cell r="D7">
            <v>2.5000000000000001E-2</v>
          </cell>
        </row>
        <row r="8">
          <cell r="D8">
            <v>3.5000000000000003E-2</v>
          </cell>
        </row>
      </sheetData>
      <sheetData sheetId="2">
        <row r="5">
          <cell r="D5">
            <v>21</v>
          </cell>
        </row>
        <row r="12">
          <cell r="D12">
            <v>62.831853071795862</v>
          </cell>
        </row>
      </sheetData>
      <sheetData sheetId="3"/>
      <sheetData sheetId="4"/>
      <sheetData sheetId="5">
        <row r="1">
          <cell r="C1">
            <v>500000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B14" sqref="B14"/>
    </sheetView>
  </sheetViews>
  <sheetFormatPr baseColWidth="10" defaultColWidth="9" defaultRowHeight="13" x14ac:dyDescent="0.15"/>
  <cols>
    <col min="1" max="1" width="52" customWidth="1"/>
    <col min="2" max="2" width="18.33203125" customWidth="1"/>
    <col min="3" max="4" width="25.1640625" customWidth="1"/>
    <col min="5" max="5" width="16.5" customWidth="1"/>
  </cols>
  <sheetData>
    <row r="1" spans="1:5" ht="20.25" customHeight="1" x14ac:dyDescent="0.15">
      <c r="A1" s="15" t="s">
        <v>0</v>
      </c>
      <c r="B1" s="15"/>
      <c r="C1" s="15"/>
      <c r="D1" s="15"/>
      <c r="E1" s="15"/>
    </row>
    <row r="2" spans="1:5" s="6" customFormat="1" ht="16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s="3" customFormat="1" ht="16" x14ac:dyDescent="0.15">
      <c r="A3" s="2" t="s">
        <v>6</v>
      </c>
      <c r="B3" s="2" t="s">
        <v>7</v>
      </c>
      <c r="C3" s="2" t="s">
        <v>8</v>
      </c>
      <c r="D3" s="2">
        <v>1.2699999999999999E-2</v>
      </c>
      <c r="E3" s="2" t="s">
        <v>9</v>
      </c>
    </row>
    <row r="4" spans="1:5" ht="16" x14ac:dyDescent="0.15">
      <c r="A4" s="2" t="s">
        <v>10</v>
      </c>
      <c r="B4" s="2" t="s">
        <v>11</v>
      </c>
      <c r="C4" s="2" t="s">
        <v>12</v>
      </c>
      <c r="D4" s="7">
        <v>2.92E-8</v>
      </c>
      <c r="E4" s="2" t="s">
        <v>13</v>
      </c>
    </row>
    <row r="5" spans="1:5" ht="18" x14ac:dyDescent="0.15">
      <c r="A5" s="2" t="s">
        <v>14</v>
      </c>
      <c r="B5" s="2" t="s">
        <v>15</v>
      </c>
      <c r="C5" s="2" t="s">
        <v>16</v>
      </c>
      <c r="D5" s="7">
        <v>1.26E-6</v>
      </c>
      <c r="E5" s="2" t="s">
        <v>17</v>
      </c>
    </row>
    <row r="6" spans="1:5" ht="16" x14ac:dyDescent="0.15">
      <c r="A6" s="2" t="s">
        <v>18</v>
      </c>
      <c r="B6" s="2" t="s">
        <v>19</v>
      </c>
      <c r="C6" s="2" t="s">
        <v>19</v>
      </c>
      <c r="D6" s="2">
        <v>5.0000000000000001E-3</v>
      </c>
      <c r="E6" s="2" t="s">
        <v>9</v>
      </c>
    </row>
    <row r="7" spans="1:5" ht="18" x14ac:dyDescent="0.15">
      <c r="A7" s="2" t="s">
        <v>20</v>
      </c>
      <c r="B7" s="2" t="s">
        <v>21</v>
      </c>
      <c r="C7" s="2" t="s">
        <v>21</v>
      </c>
      <c r="D7" s="2">
        <v>9.8070000000000004</v>
      </c>
      <c r="E7" s="2" t="s">
        <v>22</v>
      </c>
    </row>
    <row r="8" spans="1:5" ht="16" x14ac:dyDescent="0.15">
      <c r="A8" s="2" t="s">
        <v>23</v>
      </c>
      <c r="B8" s="2" t="s">
        <v>24</v>
      </c>
      <c r="C8" s="2" t="s">
        <v>24</v>
      </c>
      <c r="D8" s="2">
        <v>5.0000000000000001E-3</v>
      </c>
      <c r="E8" s="2" t="s">
        <v>9</v>
      </c>
    </row>
    <row r="9" spans="1:5" ht="16" x14ac:dyDescent="0.15">
      <c r="A9" s="2" t="s">
        <v>145</v>
      </c>
      <c r="B9" s="2" t="s">
        <v>25</v>
      </c>
      <c r="C9" s="2" t="s">
        <v>25</v>
      </c>
      <c r="D9" s="2">
        <v>0.08</v>
      </c>
      <c r="E9" s="2" t="s">
        <v>9</v>
      </c>
    </row>
    <row r="10" spans="1:5" ht="18" x14ac:dyDescent="0.15">
      <c r="A10" s="2" t="s">
        <v>26</v>
      </c>
      <c r="B10" s="2" t="s">
        <v>27</v>
      </c>
      <c r="C10" s="2" t="s">
        <v>28</v>
      </c>
      <c r="D10" s="2">
        <v>24566.800159999999</v>
      </c>
      <c r="E10" s="2" t="s">
        <v>29</v>
      </c>
    </row>
    <row r="11" spans="1:5" ht="16" x14ac:dyDescent="0.15">
      <c r="A11" s="2" t="s">
        <v>30</v>
      </c>
      <c r="B11" s="2" t="s">
        <v>7</v>
      </c>
      <c r="C11" s="2" t="s">
        <v>31</v>
      </c>
      <c r="D11" s="2">
        <v>1.0500000000000001E-2</v>
      </c>
      <c r="E11" s="2" t="s">
        <v>9</v>
      </c>
    </row>
    <row r="12" spans="1:5" ht="16" x14ac:dyDescent="0.15">
      <c r="A12" s="2" t="s">
        <v>32</v>
      </c>
      <c r="B12" s="2" t="s">
        <v>33</v>
      </c>
      <c r="C12" s="2" t="s">
        <v>33</v>
      </c>
      <c r="D12" s="2">
        <v>450</v>
      </c>
      <c r="E12" s="2" t="s">
        <v>34</v>
      </c>
    </row>
    <row r="13" spans="1:5" ht="17" x14ac:dyDescent="0.15">
      <c r="A13" s="8" t="s">
        <v>147</v>
      </c>
      <c r="B13" s="9" t="s">
        <v>148</v>
      </c>
      <c r="C13" s="9" t="s">
        <v>148</v>
      </c>
      <c r="D13" s="12">
        <v>0.97</v>
      </c>
      <c r="E13" s="9" t="s">
        <v>9</v>
      </c>
    </row>
  </sheetData>
  <mergeCells count="1">
    <mergeCell ref="A1:E1"/>
  </mergeCells>
  <phoneticPr fontId="14" type="noConversion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activeCell="D3" sqref="D3:D11"/>
    </sheetView>
  </sheetViews>
  <sheetFormatPr baseColWidth="10" defaultColWidth="9" defaultRowHeight="13" x14ac:dyDescent="0.15"/>
  <cols>
    <col min="1" max="1" width="41.33203125" customWidth="1"/>
    <col min="2" max="2" width="16.33203125" customWidth="1"/>
    <col min="3" max="4" width="21.33203125" customWidth="1"/>
    <col min="5" max="5" width="18.33203125" customWidth="1"/>
    <col min="6" max="8" width="12" customWidth="1"/>
  </cols>
  <sheetData>
    <row r="1" spans="1:5" s="4" customFormat="1" ht="18" x14ac:dyDescent="0.15">
      <c r="A1" s="16" t="s">
        <v>35</v>
      </c>
      <c r="B1" s="16"/>
      <c r="C1" s="16"/>
      <c r="D1" s="16"/>
      <c r="E1" s="16"/>
    </row>
    <row r="2" spans="1:5" ht="16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ht="16" x14ac:dyDescent="0.15">
      <c r="A3" s="2" t="s">
        <v>36</v>
      </c>
      <c r="B3" s="2" t="s">
        <v>37</v>
      </c>
      <c r="C3" s="2" t="s">
        <v>37</v>
      </c>
      <c r="D3" s="13">
        <v>1.45</v>
      </c>
      <c r="E3" s="2" t="s">
        <v>38</v>
      </c>
    </row>
    <row r="4" spans="1:5" ht="16" x14ac:dyDescent="0.15">
      <c r="A4" s="2" t="s">
        <v>39</v>
      </c>
      <c r="B4" s="2" t="s">
        <v>40</v>
      </c>
      <c r="C4" s="2" t="s">
        <v>40</v>
      </c>
      <c r="D4" s="13">
        <f>7500*D5*D6*D7</f>
        <v>0.1171875</v>
      </c>
      <c r="E4" s="2" t="s">
        <v>34</v>
      </c>
    </row>
    <row r="5" spans="1:5" ht="16" x14ac:dyDescent="0.15">
      <c r="A5" s="2" t="s">
        <v>41</v>
      </c>
      <c r="B5" s="2" t="s">
        <v>42</v>
      </c>
      <c r="C5" s="2" t="s">
        <v>42</v>
      </c>
      <c r="D5" s="13">
        <v>2.5000000000000001E-2</v>
      </c>
      <c r="E5" s="2" t="s">
        <v>9</v>
      </c>
    </row>
    <row r="6" spans="1:5" ht="16" x14ac:dyDescent="0.15">
      <c r="A6" s="2" t="s">
        <v>43</v>
      </c>
      <c r="B6" s="2" t="s">
        <v>44</v>
      </c>
      <c r="C6" s="2" t="s">
        <v>44</v>
      </c>
      <c r="D6" s="13">
        <v>2.5000000000000001E-2</v>
      </c>
      <c r="E6" s="2" t="s">
        <v>9</v>
      </c>
    </row>
    <row r="7" spans="1:5" ht="16" x14ac:dyDescent="0.15">
      <c r="A7" s="2" t="s">
        <v>45</v>
      </c>
      <c r="B7" s="2" t="s">
        <v>46</v>
      </c>
      <c r="C7" s="2" t="s">
        <v>47</v>
      </c>
      <c r="D7" s="13">
        <v>2.5000000000000001E-2</v>
      </c>
      <c r="E7" s="2" t="s">
        <v>9</v>
      </c>
    </row>
    <row r="8" spans="1:5" ht="16" x14ac:dyDescent="0.15">
      <c r="A8" s="2" t="s">
        <v>48</v>
      </c>
      <c r="B8" s="2" t="s">
        <v>46</v>
      </c>
      <c r="C8" s="2" t="s">
        <v>49</v>
      </c>
      <c r="D8" s="13">
        <v>3.5000000000000003E-2</v>
      </c>
      <c r="E8" s="2" t="s">
        <v>9</v>
      </c>
    </row>
    <row r="9" spans="1:5" ht="18" x14ac:dyDescent="0.15">
      <c r="A9" s="2" t="s">
        <v>50</v>
      </c>
      <c r="B9" s="2" t="s">
        <v>51</v>
      </c>
      <c r="C9" s="2" t="s">
        <v>51</v>
      </c>
      <c r="D9" s="13">
        <f>D5*D6</f>
        <v>6.2500000000000012E-4</v>
      </c>
      <c r="E9" s="2" t="s">
        <v>52</v>
      </c>
    </row>
    <row r="10" spans="1:5" ht="18" x14ac:dyDescent="0.15">
      <c r="A10" s="2" t="s">
        <v>53</v>
      </c>
      <c r="B10" s="2" t="s">
        <v>54</v>
      </c>
      <c r="C10" s="2" t="s">
        <v>55</v>
      </c>
      <c r="D10" s="13">
        <f>D5*D6*D7</f>
        <v>1.5625000000000004E-5</v>
      </c>
      <c r="E10" s="2" t="s">
        <v>56</v>
      </c>
    </row>
    <row r="11" spans="1:5" ht="18" x14ac:dyDescent="0.15">
      <c r="A11" s="2" t="s">
        <v>57</v>
      </c>
      <c r="B11" s="2" t="s">
        <v>54</v>
      </c>
      <c r="C11" s="2" t="s">
        <v>58</v>
      </c>
      <c r="D11" s="13">
        <f>D6*D5*D8</f>
        <v>2.1875000000000007E-5</v>
      </c>
      <c r="E11" s="2" t="s">
        <v>56</v>
      </c>
    </row>
    <row r="13" spans="1:5" ht="16" x14ac:dyDescent="0.15">
      <c r="A13" s="5"/>
      <c r="B13" s="5"/>
      <c r="C13" s="5"/>
      <c r="D13" s="5"/>
      <c r="E13" s="2"/>
    </row>
  </sheetData>
  <mergeCells count="1">
    <mergeCell ref="A1:E1"/>
  </mergeCells>
  <phoneticPr fontId="14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activeCell="D3" sqref="D3:D13"/>
    </sheetView>
  </sheetViews>
  <sheetFormatPr baseColWidth="10" defaultColWidth="9" defaultRowHeight="13" x14ac:dyDescent="0.15"/>
  <cols>
    <col min="1" max="1" width="51.5" customWidth="1"/>
    <col min="2" max="2" width="17.1640625" customWidth="1"/>
    <col min="3" max="3" width="22.33203125" customWidth="1"/>
    <col min="4" max="4" width="19.1640625" customWidth="1"/>
    <col min="5" max="5" width="14" customWidth="1"/>
    <col min="6" max="6" width="17.33203125" customWidth="1"/>
  </cols>
  <sheetData>
    <row r="1" spans="1:10" ht="18" x14ac:dyDescent="0.15">
      <c r="A1" s="16" t="s">
        <v>59</v>
      </c>
      <c r="B1" s="16"/>
      <c r="C1" s="16"/>
      <c r="D1" s="16"/>
      <c r="E1" s="16"/>
      <c r="F1" s="3"/>
      <c r="G1" s="3"/>
    </row>
    <row r="2" spans="1:10" ht="16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3"/>
      <c r="G2" s="3"/>
    </row>
    <row r="3" spans="1:10" ht="16" x14ac:dyDescent="0.15">
      <c r="A3" s="2" t="s">
        <v>60</v>
      </c>
      <c r="B3" s="2"/>
      <c r="C3" s="2"/>
      <c r="D3" s="2">
        <v>4</v>
      </c>
      <c r="E3" s="2"/>
      <c r="F3" s="3"/>
      <c r="G3" s="3"/>
    </row>
    <row r="4" spans="1:10" ht="16" x14ac:dyDescent="0.15">
      <c r="A4" s="2" t="s">
        <v>61</v>
      </c>
      <c r="B4" s="2"/>
      <c r="C4" s="2"/>
      <c r="D4" s="2">
        <v>5</v>
      </c>
      <c r="E4" s="2"/>
      <c r="F4" s="3"/>
      <c r="G4" s="3"/>
    </row>
    <row r="5" spans="1:10" ht="15" customHeight="1" x14ac:dyDescent="0.15">
      <c r="A5" s="2" t="s">
        <v>62</v>
      </c>
      <c r="B5" s="2"/>
      <c r="C5" s="2"/>
      <c r="D5" s="2">
        <v>21</v>
      </c>
      <c r="E5" s="2"/>
      <c r="F5" s="17" t="s">
        <v>63</v>
      </c>
      <c r="G5" s="17"/>
      <c r="H5" s="17"/>
      <c r="I5" s="17"/>
      <c r="J5" s="17"/>
    </row>
    <row r="6" spans="1:10" ht="16" x14ac:dyDescent="0.15">
      <c r="A6" s="2" t="s">
        <v>64</v>
      </c>
      <c r="B6" s="2"/>
      <c r="C6" s="2"/>
      <c r="D6" s="2">
        <f>D5*4</f>
        <v>84</v>
      </c>
      <c r="E6" s="2"/>
      <c r="F6" s="17"/>
      <c r="G6" s="17"/>
      <c r="H6" s="17"/>
      <c r="I6" s="17"/>
      <c r="J6" s="17"/>
    </row>
    <row r="7" spans="1:10" ht="16" x14ac:dyDescent="0.15">
      <c r="A7" s="2" t="s">
        <v>65</v>
      </c>
      <c r="B7" s="2"/>
      <c r="C7" s="2"/>
      <c r="D7" s="2">
        <f>D5*[1]Magnets!D5/2</f>
        <v>0.26250000000000001</v>
      </c>
      <c r="E7" s="2" t="s">
        <v>9</v>
      </c>
      <c r="F7" s="3"/>
      <c r="G7" s="3"/>
    </row>
    <row r="8" spans="1:10" ht="18" x14ac:dyDescent="0.15">
      <c r="A8" s="2" t="s">
        <v>66</v>
      </c>
      <c r="B8" s="2"/>
      <c r="C8" s="2"/>
      <c r="D8" s="2">
        <f>D5*[1]Magnets!D5*[1]Magnets!D6</f>
        <v>1.3125000000000001E-2</v>
      </c>
      <c r="E8" s="2" t="s">
        <v>52</v>
      </c>
      <c r="F8" s="3"/>
      <c r="G8" s="3"/>
    </row>
    <row r="9" spans="1:10" ht="18" x14ac:dyDescent="0.15">
      <c r="A9" s="2" t="s">
        <v>67</v>
      </c>
      <c r="B9" s="2" t="s">
        <v>68</v>
      </c>
      <c r="C9" s="2" t="s">
        <v>68</v>
      </c>
      <c r="D9" s="2">
        <f>D6*[1]Magnets!D5*[1]Magnets!D6</f>
        <v>5.2500000000000005E-2</v>
      </c>
      <c r="E9" s="2" t="s">
        <v>52</v>
      </c>
      <c r="F9" s="3"/>
      <c r="G9" s="3"/>
    </row>
    <row r="10" spans="1:10" ht="16" x14ac:dyDescent="0.15">
      <c r="A10" s="2" t="s">
        <v>69</v>
      </c>
      <c r="B10" s="2" t="s">
        <v>70</v>
      </c>
      <c r="C10" s="2" t="s">
        <v>70</v>
      </c>
      <c r="D10" s="2">
        <f>D6*[1]Magnets!D4</f>
        <v>9.84375</v>
      </c>
      <c r="E10" s="2" t="s">
        <v>34</v>
      </c>
      <c r="F10" s="3"/>
      <c r="G10" s="3"/>
    </row>
    <row r="11" spans="1:10" s="3" customFormat="1" ht="16" x14ac:dyDescent="0.15">
      <c r="A11" s="2" t="s">
        <v>71</v>
      </c>
      <c r="B11" s="2" t="s">
        <v>72</v>
      </c>
      <c r="C11" s="2" t="s">
        <v>73</v>
      </c>
      <c r="D11" s="2">
        <f>[1]Magnets!D5*D3</f>
        <v>0.1</v>
      </c>
      <c r="E11" s="2" t="s">
        <v>9</v>
      </c>
    </row>
    <row r="12" spans="1:10" ht="18" x14ac:dyDescent="0.15">
      <c r="A12" s="2" t="s">
        <v>74</v>
      </c>
      <c r="B12" s="2" t="s">
        <v>75</v>
      </c>
      <c r="C12" s="2" t="s">
        <v>75</v>
      </c>
      <c r="D12" s="2">
        <f>2*PI()/D11</f>
        <v>62.831853071795862</v>
      </c>
      <c r="E12" s="2" t="s">
        <v>76</v>
      </c>
    </row>
    <row r="13" spans="1:10" ht="16" x14ac:dyDescent="0.15">
      <c r="A13" s="2" t="s">
        <v>77</v>
      </c>
      <c r="B13" s="2" t="s">
        <v>78</v>
      </c>
      <c r="C13" s="2" t="s">
        <v>79</v>
      </c>
      <c r="D13" s="2">
        <f>[1]Magnets!D3*((1-EXP(-D12*[1]Magnets!D7))*SIN(PI()/D3)/(PI()/D3))</f>
        <v>1.0340804655703979</v>
      </c>
      <c r="E13" s="2" t="s">
        <v>38</v>
      </c>
    </row>
  </sheetData>
  <mergeCells count="2">
    <mergeCell ref="A1:E1"/>
    <mergeCell ref="F5:J6"/>
  </mergeCells>
  <phoneticPr fontId="14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"/>
  <sheetViews>
    <sheetView workbookViewId="0">
      <selection activeCell="D3" sqref="D3:D11"/>
    </sheetView>
  </sheetViews>
  <sheetFormatPr baseColWidth="10" defaultColWidth="9" defaultRowHeight="13" x14ac:dyDescent="0.15"/>
  <cols>
    <col min="1" max="1" width="44.6640625" customWidth="1"/>
    <col min="2" max="2" width="18.6640625" customWidth="1"/>
    <col min="3" max="3" width="27.33203125" customWidth="1"/>
    <col min="4" max="4" width="29.6640625" customWidth="1"/>
    <col min="5" max="5" width="17.1640625" customWidth="1"/>
    <col min="6" max="6" width="15.33203125" customWidth="1"/>
  </cols>
  <sheetData>
    <row r="1" spans="1:10" ht="18" x14ac:dyDescent="0.15">
      <c r="A1" s="16" t="s">
        <v>80</v>
      </c>
      <c r="B1" s="16"/>
      <c r="C1" s="16"/>
      <c r="D1" s="16"/>
      <c r="E1" s="16"/>
    </row>
    <row r="2" spans="1:10" ht="16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10" ht="16" x14ac:dyDescent="0.15">
      <c r="A3" s="2" t="s">
        <v>60</v>
      </c>
      <c r="B3" s="2"/>
      <c r="C3" s="2"/>
      <c r="D3" s="13">
        <v>4</v>
      </c>
      <c r="E3" s="2"/>
      <c r="F3" s="3"/>
    </row>
    <row r="4" spans="1:10" ht="16" x14ac:dyDescent="0.15">
      <c r="A4" s="2" t="s">
        <v>61</v>
      </c>
      <c r="B4" s="2"/>
      <c r="C4" s="2"/>
      <c r="D4" s="13">
        <v>4</v>
      </c>
      <c r="E4" s="2"/>
      <c r="F4" s="3"/>
    </row>
    <row r="5" spans="1:10" ht="15" customHeight="1" x14ac:dyDescent="0.15">
      <c r="A5" s="2" t="s">
        <v>62</v>
      </c>
      <c r="B5" s="2"/>
      <c r="C5" s="2"/>
      <c r="D5" s="13">
        <f>D4*D3+1</f>
        <v>17</v>
      </c>
      <c r="E5" s="2"/>
      <c r="F5" s="17" t="s">
        <v>81</v>
      </c>
      <c r="G5" s="17"/>
      <c r="H5" s="17"/>
      <c r="I5" s="17"/>
      <c r="J5" s="17"/>
    </row>
    <row r="6" spans="1:10" ht="16" x14ac:dyDescent="0.15">
      <c r="A6" s="2" t="s">
        <v>64</v>
      </c>
      <c r="B6" s="2"/>
      <c r="C6" s="2"/>
      <c r="D6" s="13">
        <f>D5*4</f>
        <v>68</v>
      </c>
      <c r="E6" s="2"/>
      <c r="F6" s="17"/>
      <c r="G6" s="17"/>
      <c r="H6" s="17"/>
      <c r="I6" s="17"/>
      <c r="J6" s="17"/>
    </row>
    <row r="7" spans="1:10" ht="16" x14ac:dyDescent="0.15">
      <c r="A7" s="2" t="s">
        <v>65</v>
      </c>
      <c r="B7" s="2"/>
      <c r="C7" s="2"/>
      <c r="D7" s="13">
        <f>D5*'[1]Levitation Arrays'!D5/2</f>
        <v>178.5</v>
      </c>
      <c r="E7" s="2" t="s">
        <v>9</v>
      </c>
      <c r="F7" s="3"/>
    </row>
    <row r="8" spans="1:10" ht="18" x14ac:dyDescent="0.15">
      <c r="A8" s="2" t="s">
        <v>66</v>
      </c>
      <c r="B8" s="2"/>
      <c r="C8" s="2"/>
      <c r="D8" s="13">
        <f>D5*[1]Magnets!D5*[1]Magnets!D6</f>
        <v>1.0625000000000002E-2</v>
      </c>
      <c r="E8" s="2" t="s">
        <v>52</v>
      </c>
      <c r="F8" s="3"/>
    </row>
    <row r="9" spans="1:10" ht="18" x14ac:dyDescent="0.15">
      <c r="A9" s="2" t="s">
        <v>82</v>
      </c>
      <c r="B9" s="2" t="s">
        <v>83</v>
      </c>
      <c r="C9" s="2" t="s">
        <v>83</v>
      </c>
      <c r="D9" s="13">
        <f>D6*[1]Magnets!D5*[1]Magnets!D6</f>
        <v>4.250000000000001E-2</v>
      </c>
      <c r="E9" s="2" t="s">
        <v>52</v>
      </c>
      <c r="F9" s="3"/>
    </row>
    <row r="10" spans="1:10" ht="16" x14ac:dyDescent="0.15">
      <c r="A10" s="2" t="s">
        <v>84</v>
      </c>
      <c r="B10" s="2" t="s">
        <v>85</v>
      </c>
      <c r="C10" s="2" t="s">
        <v>86</v>
      </c>
      <c r="D10" s="13">
        <f>D6*[1]Magnets!D4</f>
        <v>7.96875</v>
      </c>
      <c r="E10" s="2" t="s">
        <v>34</v>
      </c>
      <c r="F10" s="3"/>
    </row>
    <row r="11" spans="1:10" ht="16" x14ac:dyDescent="0.15">
      <c r="A11" s="2" t="s">
        <v>77</v>
      </c>
      <c r="B11" s="2" t="s">
        <v>78</v>
      </c>
      <c r="C11" s="2" t="s">
        <v>87</v>
      </c>
      <c r="D11" s="13">
        <f>[1]Magnets!D3*((1-EXP(-'[1]Levitation Arrays'!D12*[1]Magnets!D8))*SIN(PI()/D3)/(PI()/D3))</f>
        <v>1.160681624356553</v>
      </c>
      <c r="E11" s="2" t="s">
        <v>38</v>
      </c>
    </row>
  </sheetData>
  <mergeCells count="2">
    <mergeCell ref="A1:E1"/>
    <mergeCell ref="F5:J6"/>
  </mergeCells>
  <phoneticPr fontId="14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"/>
  <sheetViews>
    <sheetView workbookViewId="0">
      <selection activeCell="E10" sqref="E10"/>
    </sheetView>
  </sheetViews>
  <sheetFormatPr baseColWidth="10" defaultColWidth="9" defaultRowHeight="13" x14ac:dyDescent="0.15"/>
  <cols>
    <col min="1" max="1" width="44.5" customWidth="1"/>
    <col min="2" max="2" width="21.5" customWidth="1"/>
    <col min="3" max="4" width="30.6640625" customWidth="1"/>
    <col min="5" max="5" width="20.5" customWidth="1"/>
    <col min="6" max="6" width="18" customWidth="1"/>
  </cols>
  <sheetData>
    <row r="1" spans="1:6" ht="18" x14ac:dyDescent="0.15">
      <c r="A1" s="16" t="s">
        <v>88</v>
      </c>
      <c r="B1" s="16"/>
      <c r="C1" s="16"/>
      <c r="D1" s="16"/>
      <c r="E1" s="16"/>
    </row>
    <row r="2" spans="1:6" ht="16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6" ht="18" x14ac:dyDescent="0.15">
      <c r="A3" s="2" t="s">
        <v>89</v>
      </c>
      <c r="B3" s="2" t="s">
        <v>90</v>
      </c>
      <c r="C3" s="2" t="s">
        <v>90</v>
      </c>
      <c r="D3" s="2">
        <v>9.81</v>
      </c>
      <c r="E3" s="2" t="s">
        <v>22</v>
      </c>
    </row>
    <row r="4" spans="1:6" ht="16" x14ac:dyDescent="0.15">
      <c r="A4" s="2" t="s">
        <v>91</v>
      </c>
      <c r="B4" s="2" t="s">
        <v>92</v>
      </c>
      <c r="C4" s="2" t="s">
        <v>92</v>
      </c>
      <c r="D4" s="2">
        <v>488</v>
      </c>
      <c r="E4" s="2" t="s">
        <v>9</v>
      </c>
      <c r="F4" s="2" t="s">
        <v>146</v>
      </c>
    </row>
    <row r="5" spans="1:6" ht="16" x14ac:dyDescent="0.15">
      <c r="A5" s="2" t="s">
        <v>93</v>
      </c>
      <c r="B5" s="2" t="s">
        <v>94</v>
      </c>
      <c r="C5" s="2" t="s">
        <v>94</v>
      </c>
      <c r="D5" s="2">
        <v>1264.92</v>
      </c>
      <c r="E5" s="2" t="s">
        <v>9</v>
      </c>
      <c r="F5" s="2" t="s">
        <v>151</v>
      </c>
    </row>
    <row r="17" spans="3:3" x14ac:dyDescent="0.15">
      <c r="C17" t="s">
        <v>149</v>
      </c>
    </row>
    <row r="18" spans="3:3" x14ac:dyDescent="0.15">
      <c r="C18" t="s">
        <v>150</v>
      </c>
    </row>
  </sheetData>
  <mergeCells count="1">
    <mergeCell ref="A1:E1"/>
  </mergeCells>
  <phoneticPr fontId="14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0"/>
  <sheetViews>
    <sheetView workbookViewId="0">
      <selection activeCell="C10" sqref="C1:C10"/>
    </sheetView>
  </sheetViews>
  <sheetFormatPr baseColWidth="10" defaultColWidth="9" defaultRowHeight="13" x14ac:dyDescent="0.15"/>
  <cols>
    <col min="1" max="1" width="15.5" style="10" customWidth="1"/>
    <col min="2" max="2" width="64.5" style="10" customWidth="1"/>
    <col min="3" max="1025" width="15.5" style="10" customWidth="1"/>
    <col min="1026" max="16384" width="9" style="10"/>
  </cols>
  <sheetData>
    <row r="1" spans="1:31" ht="16" x14ac:dyDescent="0.15">
      <c r="A1" s="10" t="s">
        <v>95</v>
      </c>
      <c r="B1" s="10" t="s">
        <v>96</v>
      </c>
      <c r="C1" s="14">
        <f>500000</f>
        <v>500000</v>
      </c>
      <c r="D1" s="10" t="s">
        <v>21</v>
      </c>
      <c r="I1" s="11" t="s">
        <v>97</v>
      </c>
      <c r="J1" s="11"/>
      <c r="K1" s="11"/>
      <c r="L1" s="11"/>
      <c r="M1" s="11"/>
      <c r="N1" s="11"/>
      <c r="O1" s="11" t="s">
        <v>98</v>
      </c>
      <c r="P1" s="11"/>
      <c r="Q1" s="11"/>
      <c r="R1" s="11"/>
      <c r="S1" s="11"/>
      <c r="T1" s="11"/>
      <c r="U1" s="11" t="s">
        <v>99</v>
      </c>
      <c r="V1" s="11"/>
      <c r="W1" s="11"/>
      <c r="X1" s="11"/>
      <c r="Y1" s="11"/>
      <c r="AA1" s="10" t="s">
        <v>100</v>
      </c>
    </row>
    <row r="2" spans="1:31" x14ac:dyDescent="0.15">
      <c r="A2" s="10" t="s">
        <v>101</v>
      </c>
      <c r="B2" s="10" t="s">
        <v>102</v>
      </c>
      <c r="C2" s="14">
        <f>SUM(AB4:AB15)/C1</f>
        <v>-100.03001454000002</v>
      </c>
      <c r="D2" s="10" t="s">
        <v>103</v>
      </c>
      <c r="I2" s="10" t="s">
        <v>104</v>
      </c>
      <c r="J2" s="10" t="s">
        <v>105</v>
      </c>
      <c r="K2" s="10" t="s">
        <v>106</v>
      </c>
      <c r="P2" s="10" t="s">
        <v>107</v>
      </c>
      <c r="Q2" s="10" t="s">
        <v>108</v>
      </c>
      <c r="R2" s="10" t="s">
        <v>109</v>
      </c>
      <c r="S2" s="10" t="s">
        <v>110</v>
      </c>
      <c r="V2" s="10" t="s">
        <v>107</v>
      </c>
      <c r="W2" s="10" t="s">
        <v>108</v>
      </c>
      <c r="X2" s="10" t="s">
        <v>109</v>
      </c>
      <c r="Y2" s="10" t="s">
        <v>110</v>
      </c>
      <c r="AB2" s="10" t="s">
        <v>107</v>
      </c>
      <c r="AC2" s="10" t="s">
        <v>108</v>
      </c>
      <c r="AD2" s="10" t="s">
        <v>109</v>
      </c>
      <c r="AE2" s="10" t="s">
        <v>110</v>
      </c>
    </row>
    <row r="3" spans="1:31" x14ac:dyDescent="0.15">
      <c r="A3" s="10" t="s">
        <v>111</v>
      </c>
      <c r="B3" s="10" t="s">
        <v>112</v>
      </c>
      <c r="C3" s="14">
        <f>SUM(AC4:AC15)/C1</f>
        <v>82.151335459999999</v>
      </c>
      <c r="D3" s="10" t="s">
        <v>103</v>
      </c>
      <c r="I3" s="10">
        <f t="shared" ref="I3:K3" si="0">AVERAGE(P5:P8)</f>
        <v>1595.56</v>
      </c>
      <c r="J3" s="10">
        <f t="shared" si="0"/>
        <v>637.11</v>
      </c>
      <c r="K3" s="10">
        <f t="shared" si="0"/>
        <v>2579.37</v>
      </c>
      <c r="P3" s="10" t="s">
        <v>113</v>
      </c>
      <c r="Q3" s="10" t="s">
        <v>114</v>
      </c>
      <c r="R3" s="10" t="s">
        <v>115</v>
      </c>
      <c r="V3" s="10" t="s">
        <v>113</v>
      </c>
      <c r="W3" s="10" t="s">
        <v>114</v>
      </c>
      <c r="X3" s="10" t="s">
        <v>115</v>
      </c>
      <c r="AB3" s="10" t="s">
        <v>113</v>
      </c>
      <c r="AC3" s="10" t="s">
        <v>114</v>
      </c>
      <c r="AD3" s="10" t="s">
        <v>115</v>
      </c>
    </row>
    <row r="4" spans="1:31" x14ac:dyDescent="0.15">
      <c r="A4" s="10" t="s">
        <v>116</v>
      </c>
      <c r="B4" s="10" t="s">
        <v>117</v>
      </c>
      <c r="C4" s="14">
        <f>SUM(AD4:AD15)/C1</f>
        <v>0.54698224000007656</v>
      </c>
      <c r="D4" s="10" t="s">
        <v>103</v>
      </c>
      <c r="O4" s="10" t="s">
        <v>118</v>
      </c>
      <c r="P4" s="10">
        <v>1622.85</v>
      </c>
      <c r="Q4" s="10">
        <v>939.4</v>
      </c>
      <c r="R4" s="10">
        <v>2583.13</v>
      </c>
      <c r="S4" s="10">
        <v>72737</v>
      </c>
      <c r="U4" s="10" t="str">
        <f t="shared" ref="U4:U8" si="1">O4</f>
        <v>Central Pod</v>
      </c>
      <c r="V4" s="10">
        <f t="shared" ref="V4:X4" si="2">P4-I$3</f>
        <v>27.289999999999964</v>
      </c>
      <c r="W4" s="10">
        <f t="shared" si="2"/>
        <v>302.28999999999996</v>
      </c>
      <c r="X4" s="10">
        <f t="shared" si="2"/>
        <v>3.7600000000002183</v>
      </c>
      <c r="Y4" s="10">
        <f t="shared" ref="Y4:Y8" si="3">S4</f>
        <v>72737</v>
      </c>
      <c r="AA4" s="10" t="str">
        <f t="shared" ref="AA4:AA10" si="4">U4</f>
        <v>Central Pod</v>
      </c>
      <c r="AB4" s="10">
        <f t="shared" ref="AB4:AB10" si="5">V4*AE4</f>
        <v>1984992.7299999974</v>
      </c>
      <c r="AC4" s="10">
        <f t="shared" ref="AC4:AC10" si="6">W4*AE4</f>
        <v>21987667.729999997</v>
      </c>
      <c r="AD4" s="10">
        <f t="shared" ref="AD4:AD10" si="7">X4*AE4</f>
        <v>273491.12000001589</v>
      </c>
      <c r="AE4" s="10">
        <f t="shared" ref="AE4:AE10" si="8">Y4</f>
        <v>72737</v>
      </c>
    </row>
    <row r="5" spans="1:31" x14ac:dyDescent="0.15">
      <c r="A5" s="10" t="s">
        <v>119</v>
      </c>
      <c r="B5" s="10" t="s">
        <v>120</v>
      </c>
      <c r="C5" s="14">
        <f>S5</f>
        <v>25126</v>
      </c>
      <c r="D5" s="10" t="s">
        <v>21</v>
      </c>
      <c r="O5" s="10" t="s">
        <v>121</v>
      </c>
      <c r="P5" s="10">
        <v>2115.59</v>
      </c>
      <c r="Q5" s="10">
        <v>637.11</v>
      </c>
      <c r="R5" s="10">
        <v>2735.53</v>
      </c>
      <c r="S5" s="10">
        <v>25126</v>
      </c>
      <c r="U5" s="10" t="str">
        <f t="shared" si="1"/>
        <v>Rear Left ski</v>
      </c>
      <c r="V5" s="10">
        <f>(P5-I$3)*-1</f>
        <v>-520.0300000000002</v>
      </c>
      <c r="W5" s="10">
        <f t="shared" ref="W5:X8" si="9">Q5-J$3</f>
        <v>0</v>
      </c>
      <c r="X5" s="10">
        <f t="shared" si="9"/>
        <v>156.16000000000031</v>
      </c>
      <c r="Y5" s="10">
        <f t="shared" si="3"/>
        <v>25126</v>
      </c>
      <c r="AA5" s="10" t="str">
        <f t="shared" si="4"/>
        <v>Rear Left ski</v>
      </c>
      <c r="AB5" s="10">
        <f t="shared" si="5"/>
        <v>-13066273.780000005</v>
      </c>
      <c r="AC5" s="10">
        <f t="shared" si="6"/>
        <v>0</v>
      </c>
      <c r="AD5" s="10">
        <f t="shared" si="7"/>
        <v>3923676.1600000076</v>
      </c>
      <c r="AE5" s="10">
        <f t="shared" si="8"/>
        <v>25126</v>
      </c>
    </row>
    <row r="6" spans="1:31" x14ac:dyDescent="0.15">
      <c r="A6" s="10" t="s">
        <v>122</v>
      </c>
      <c r="B6" s="10" t="s">
        <v>123</v>
      </c>
      <c r="C6" s="14">
        <f>AB7/AE7</f>
        <v>520.03</v>
      </c>
      <c r="D6" s="10" t="s">
        <v>103</v>
      </c>
      <c r="O6" s="10" t="s">
        <v>124</v>
      </c>
      <c r="P6" s="10">
        <v>2115.59</v>
      </c>
      <c r="Q6" s="10">
        <v>637.11</v>
      </c>
      <c r="R6" s="10">
        <v>2423.21</v>
      </c>
      <c r="S6" s="10">
        <v>25126</v>
      </c>
      <c r="U6" s="10" t="str">
        <f t="shared" si="1"/>
        <v>Rear Right Ski</v>
      </c>
      <c r="V6" s="10">
        <f>(P6-I$3)*-1</f>
        <v>-520.0300000000002</v>
      </c>
      <c r="W6" s="10">
        <f t="shared" si="9"/>
        <v>0</v>
      </c>
      <c r="X6" s="10">
        <f t="shared" si="9"/>
        <v>-156.15999999999985</v>
      </c>
      <c r="Y6" s="10">
        <f t="shared" si="3"/>
        <v>25126</v>
      </c>
      <c r="AA6" s="10" t="str">
        <f t="shared" si="4"/>
        <v>Rear Right Ski</v>
      </c>
      <c r="AB6" s="10">
        <f t="shared" si="5"/>
        <v>-13066273.780000005</v>
      </c>
      <c r="AC6" s="10">
        <f t="shared" si="6"/>
        <v>0</v>
      </c>
      <c r="AD6" s="10">
        <f t="shared" si="7"/>
        <v>-3923676.1599999964</v>
      </c>
      <c r="AE6" s="10">
        <f t="shared" si="8"/>
        <v>25126</v>
      </c>
    </row>
    <row r="7" spans="1:31" x14ac:dyDescent="0.15">
      <c r="A7" s="10" t="s">
        <v>125</v>
      </c>
      <c r="B7" s="10" t="s">
        <v>123</v>
      </c>
      <c r="C7" s="14">
        <f>AC7/AE7</f>
        <v>0</v>
      </c>
      <c r="D7" s="10" t="s">
        <v>103</v>
      </c>
      <c r="O7" s="10" t="s">
        <v>126</v>
      </c>
      <c r="P7" s="10">
        <v>1075.53</v>
      </c>
      <c r="Q7" s="10">
        <v>637.11</v>
      </c>
      <c r="R7" s="10">
        <v>2423.21</v>
      </c>
      <c r="S7" s="10">
        <v>25126</v>
      </c>
      <c r="U7" s="10" t="str">
        <f t="shared" si="1"/>
        <v>Front Right Ski</v>
      </c>
      <c r="V7" s="10">
        <f>(P7-I$3)*-1</f>
        <v>520.03</v>
      </c>
      <c r="W7" s="10">
        <f t="shared" si="9"/>
        <v>0</v>
      </c>
      <c r="X7" s="10">
        <f t="shared" si="9"/>
        <v>-156.15999999999985</v>
      </c>
      <c r="Y7" s="10">
        <f t="shared" si="3"/>
        <v>25126</v>
      </c>
      <c r="AA7" s="10" t="str">
        <f t="shared" si="4"/>
        <v>Front Right Ski</v>
      </c>
      <c r="AB7" s="10">
        <f t="shared" si="5"/>
        <v>13066273.779999999</v>
      </c>
      <c r="AC7" s="10">
        <f t="shared" si="6"/>
        <v>0</v>
      </c>
      <c r="AD7" s="10">
        <f t="shared" si="7"/>
        <v>-3923676.1599999964</v>
      </c>
      <c r="AE7" s="10">
        <f t="shared" si="8"/>
        <v>25126</v>
      </c>
    </row>
    <row r="8" spans="1:31" x14ac:dyDescent="0.15">
      <c r="A8" s="10" t="s">
        <v>127</v>
      </c>
      <c r="B8" s="10" t="s">
        <v>123</v>
      </c>
      <c r="C8" s="14">
        <f>AD7/AE7</f>
        <v>-156.15999999999985</v>
      </c>
      <c r="D8" s="10" t="s">
        <v>103</v>
      </c>
      <c r="O8" s="10" t="s">
        <v>128</v>
      </c>
      <c r="P8" s="10">
        <v>1075.53</v>
      </c>
      <c r="Q8" s="10">
        <v>637.11</v>
      </c>
      <c r="R8" s="10">
        <v>2735.53</v>
      </c>
      <c r="S8" s="10">
        <v>25126</v>
      </c>
      <c r="U8" s="10" t="str">
        <f t="shared" si="1"/>
        <v>Front Left Ski</v>
      </c>
      <c r="V8" s="10">
        <f>(P8-I$3)*-1</f>
        <v>520.03</v>
      </c>
      <c r="W8" s="10">
        <f t="shared" si="9"/>
        <v>0</v>
      </c>
      <c r="X8" s="10">
        <f t="shared" si="9"/>
        <v>156.16000000000031</v>
      </c>
      <c r="Y8" s="10">
        <f t="shared" si="3"/>
        <v>25126</v>
      </c>
      <c r="AA8" s="10" t="str">
        <f t="shared" si="4"/>
        <v>Front Left Ski</v>
      </c>
      <c r="AB8" s="10">
        <f t="shared" si="5"/>
        <v>13066273.779999999</v>
      </c>
      <c r="AC8" s="10">
        <f t="shared" si="6"/>
        <v>0</v>
      </c>
      <c r="AD8" s="10">
        <f t="shared" si="7"/>
        <v>3923676.1600000076</v>
      </c>
      <c r="AE8" s="10">
        <f t="shared" si="8"/>
        <v>25126</v>
      </c>
    </row>
    <row r="9" spans="1:31" x14ac:dyDescent="0.15">
      <c r="A9" s="10" t="s">
        <v>129</v>
      </c>
      <c r="B9" s="10" t="s">
        <v>130</v>
      </c>
      <c r="C9" s="14">
        <f>C1-4*C5</f>
        <v>399496</v>
      </c>
      <c r="D9" s="10" t="s">
        <v>21</v>
      </c>
      <c r="U9" s="10" t="s">
        <v>131</v>
      </c>
      <c r="V9" s="10">
        <v>-500</v>
      </c>
      <c r="W9" s="10">
        <f>384-200</f>
        <v>184</v>
      </c>
      <c r="X9" s="10">
        <v>0</v>
      </c>
      <c r="Y9" s="10">
        <f>102000</f>
        <v>102000</v>
      </c>
      <c r="AA9" s="10" t="str">
        <f t="shared" si="4"/>
        <v>Dummy</v>
      </c>
      <c r="AB9" s="10">
        <f t="shared" si="5"/>
        <v>-51000000</v>
      </c>
      <c r="AC9" s="10">
        <f t="shared" si="6"/>
        <v>18768000</v>
      </c>
      <c r="AD9" s="10">
        <f t="shared" si="7"/>
        <v>0</v>
      </c>
      <c r="AE9" s="10">
        <f t="shared" si="8"/>
        <v>102000</v>
      </c>
    </row>
    <row r="10" spans="1:31" x14ac:dyDescent="0.15">
      <c r="A10" s="10" t="s">
        <v>132</v>
      </c>
      <c r="B10" s="10" t="s">
        <v>133</v>
      </c>
      <c r="C10" s="14">
        <f>W10-C3</f>
        <v>237.84866454000002</v>
      </c>
      <c r="U10" s="10" t="s">
        <v>134</v>
      </c>
      <c r="V10" s="10">
        <v>-1000</v>
      </c>
      <c r="W10" s="10">
        <v>320</v>
      </c>
      <c r="X10" s="10">
        <v>0</v>
      </c>
      <c r="Y10" s="10">
        <v>1000</v>
      </c>
      <c r="AA10" s="10" t="str">
        <f t="shared" si="4"/>
        <v>Pusher Plate</v>
      </c>
      <c r="AB10" s="10">
        <f t="shared" si="5"/>
        <v>-1000000</v>
      </c>
      <c r="AC10" s="10">
        <f t="shared" si="6"/>
        <v>320000</v>
      </c>
      <c r="AD10" s="10">
        <f t="shared" si="7"/>
        <v>0</v>
      </c>
      <c r="AE10" s="10">
        <f t="shared" si="8"/>
        <v>1000</v>
      </c>
    </row>
  </sheetData>
  <phoneticPr fontId="14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"/>
  <sheetViews>
    <sheetView workbookViewId="0">
      <selection activeCell="D5" sqref="D5"/>
    </sheetView>
  </sheetViews>
  <sheetFormatPr baseColWidth="10" defaultColWidth="9" defaultRowHeight="13" x14ac:dyDescent="0.15"/>
  <cols>
    <col min="1" max="1" width="44.5" customWidth="1"/>
    <col min="2" max="2" width="21.5" customWidth="1"/>
    <col min="3" max="4" width="30.6640625" customWidth="1"/>
    <col min="5" max="5" width="20.5" customWidth="1"/>
  </cols>
  <sheetData>
    <row r="1" spans="1:5" ht="18" x14ac:dyDescent="0.15">
      <c r="A1" s="16" t="s">
        <v>135</v>
      </c>
      <c r="B1" s="16"/>
      <c r="C1" s="16"/>
      <c r="D1" s="16"/>
      <c r="E1" s="16"/>
    </row>
    <row r="2" spans="1:5" ht="16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ht="18" x14ac:dyDescent="0.15">
      <c r="A3" s="2" t="s">
        <v>136</v>
      </c>
      <c r="B3" s="2" t="s">
        <v>75</v>
      </c>
      <c r="C3" s="2" t="s">
        <v>137</v>
      </c>
      <c r="D3" s="2">
        <v>5000</v>
      </c>
      <c r="E3" s="2" t="s">
        <v>138</v>
      </c>
    </row>
    <row r="4" spans="1:5" ht="18" x14ac:dyDescent="0.15">
      <c r="A4" s="2" t="s">
        <v>139</v>
      </c>
      <c r="B4" s="2" t="s">
        <v>140</v>
      </c>
      <c r="C4" s="2" t="s">
        <v>140</v>
      </c>
      <c r="D4" s="2">
        <v>750</v>
      </c>
      <c r="E4" s="2" t="s">
        <v>141</v>
      </c>
    </row>
    <row r="5" spans="1:5" ht="16" x14ac:dyDescent="0.15">
      <c r="A5" s="2" t="s">
        <v>142</v>
      </c>
      <c r="B5" s="2" t="s">
        <v>143</v>
      </c>
      <c r="C5" s="2" t="s">
        <v>144</v>
      </c>
      <c r="D5" s="2">
        <v>2</v>
      </c>
      <c r="E5" s="2"/>
    </row>
  </sheetData>
  <mergeCells count="1">
    <mergeCell ref="A1:E1"/>
  </mergeCells>
  <phoneticPr fontId="14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Constants</vt:lpstr>
      <vt:lpstr>Magnets</vt:lpstr>
      <vt:lpstr>Levitation Arrays</vt:lpstr>
      <vt:lpstr>Braking Arrays</vt:lpstr>
      <vt:lpstr>Trajectory</vt:lpstr>
      <vt:lpstr>Centre of Mass</vt:lpstr>
      <vt:lpstr>Suspension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17</cp:revision>
  <dcterms:created xsi:type="dcterms:W3CDTF">2017-04-12T01:54:00Z</dcterms:created>
  <dcterms:modified xsi:type="dcterms:W3CDTF">2018-11-03T02:27:17Z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2057-10.1.0.5672</vt:lpwstr>
  </property>
</Properties>
</file>