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<sst xmlns="http://schemas.openxmlformats.org/spreadsheetml/2006/main" count="20" uniqueCount="19">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</sst>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Sheet1!$A$2:$A$1291</c:f>
            </c:strRef>
          </c:cat>
          <c:val>
            <c:numRef>
              <c:f>Sheet1!$B$2:$B$1291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Sheet1!$A$2:$A$1291</c:f>
            </c:strRef>
          </c:cat>
          <c:val>
            <c:numRef>
              <c:f>Sheet1!$C$2:$C$1291</c:f>
              <c:numCache/>
            </c:numRef>
          </c:val>
          <c:smooth val="0"/>
        </c:ser>
        <c:axId val="1563077294"/>
        <c:axId val="362182747"/>
      </c:lineChart>
      <c:catAx>
        <c:axId val="15630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182747"/>
      </c:catAx>
      <c:valAx>
        <c:axId val="362182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07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value of next 30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Sheet1!$C$1261:$C$1291</c:f>
              <c:numCache/>
            </c:numRef>
          </c:val>
          <c:smooth val="0"/>
        </c:ser>
        <c:axId val="1112500079"/>
        <c:axId val="183243999"/>
      </c:lineChart>
      <c:catAx>
        <c:axId val="111250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43999"/>
      </c:catAx>
      <c:valAx>
        <c:axId val="183243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500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828675</xdr:colOff>
      <xdr:row>21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IFERROR(__xludf.DUMMYFUNCTION("GOOGLEFINANCE(""TSLA"",""price"",DATE(2019,4,26),DATE(2024,4,26))"),"Date")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IFERROR(__xludf.DUMMYFUNCTION("""COMPUTED_VALUE"""),43581.66666666667)</f>
        <v>43581.66667</v>
      </c>
      <c r="B2" s="2">
        <f>IFERROR(__xludf.DUMMYFUNCTION("""COMPUTED_VALUE"""),15.68)</f>
        <v>15.68</v>
      </c>
      <c r="C2" s="3">
        <v>2.24591883070474</v>
      </c>
    </row>
    <row r="3">
      <c r="A3" s="1">
        <f>IFERROR(__xludf.DUMMYFUNCTION("""COMPUTED_VALUE"""),43584.66666666667)</f>
        <v>43584.66667</v>
      </c>
      <c r="B3" s="2">
        <f>IFERROR(__xludf.DUMMYFUNCTION("""COMPUTED_VALUE"""),16.1)</f>
        <v>16.1</v>
      </c>
      <c r="C3" s="3">
        <v>3.2321966310163</v>
      </c>
    </row>
    <row r="4">
      <c r="A4" s="1">
        <f>IFERROR(__xludf.DUMMYFUNCTION("""COMPUTED_VALUE"""),43585.66666666667)</f>
        <v>43585.66667</v>
      </c>
      <c r="B4" s="2">
        <f>IFERROR(__xludf.DUMMYFUNCTION("""COMPUTED_VALUE"""),15.91)</f>
        <v>15.91</v>
      </c>
      <c r="C4" s="3">
        <v>1.90860517595873</v>
      </c>
    </row>
    <row r="5">
      <c r="A5" s="1">
        <f>IFERROR(__xludf.DUMMYFUNCTION("""COMPUTED_VALUE"""),43586.66666666667)</f>
        <v>43586.66667</v>
      </c>
      <c r="B5" s="2">
        <f>IFERROR(__xludf.DUMMYFUNCTION("""COMPUTED_VALUE"""),15.6)</f>
        <v>15.6</v>
      </c>
      <c r="C5" s="3">
        <v>1.80129131013375</v>
      </c>
    </row>
    <row r="6">
      <c r="A6" s="1">
        <f>IFERROR(__xludf.DUMMYFUNCTION("""COMPUTED_VALUE"""),43587.66666666667)</f>
        <v>43587.66667</v>
      </c>
      <c r="B6" s="2">
        <f>IFERROR(__xludf.DUMMYFUNCTION("""COMPUTED_VALUE"""),16.27)</f>
        <v>16.27</v>
      </c>
      <c r="C6" s="3">
        <v>0.433779128959617</v>
      </c>
    </row>
    <row r="7">
      <c r="A7" s="1">
        <f>IFERROR(__xludf.DUMMYFUNCTION("""COMPUTED_VALUE"""),43588.66666666667)</f>
        <v>43588.66667</v>
      </c>
      <c r="B7" s="2">
        <f>IFERROR(__xludf.DUMMYFUNCTION("""COMPUTED_VALUE"""),17.0)</f>
        <v>17</v>
      </c>
      <c r="C7" s="3">
        <v>-0.682053141500464</v>
      </c>
    </row>
    <row r="8">
      <c r="A8" s="1">
        <f>IFERROR(__xludf.DUMMYFUNCTION("""COMPUTED_VALUE"""),43591.66666666667)</f>
        <v>43591.66667</v>
      </c>
      <c r="B8" s="2">
        <f>IFERROR(__xludf.DUMMYFUNCTION("""COMPUTED_VALUE"""),17.02)</f>
        <v>17.02</v>
      </c>
      <c r="C8" s="3">
        <v>-0.97077387819872</v>
      </c>
    </row>
    <row r="9">
      <c r="A9" s="1">
        <f>IFERROR(__xludf.DUMMYFUNCTION("""COMPUTED_VALUE"""),43592.66666666667)</f>
        <v>43592.66667</v>
      </c>
      <c r="B9" s="2">
        <f>IFERROR(__xludf.DUMMYFUNCTION("""COMPUTED_VALUE"""),16.47)</f>
        <v>16.47</v>
      </c>
      <c r="C9" s="3">
        <v>-2.73047702489376</v>
      </c>
    </row>
    <row r="10">
      <c r="A10" s="1">
        <f>IFERROR(__xludf.DUMMYFUNCTION("""COMPUTED_VALUE"""),43593.66666666667)</f>
        <v>43593.66667</v>
      </c>
      <c r="B10" s="2">
        <f>IFERROR(__xludf.DUMMYFUNCTION("""COMPUTED_VALUE"""),16.32)</f>
        <v>16.32</v>
      </c>
      <c r="C10" s="3">
        <v>-3.25325085259227</v>
      </c>
    </row>
    <row r="11">
      <c r="A11" s="1">
        <f>IFERROR(__xludf.DUMMYFUNCTION("""COMPUTED_VALUE"""),43594.66666666667)</f>
        <v>43594.66667</v>
      </c>
      <c r="B11" s="2">
        <f>IFERROR(__xludf.DUMMYFUNCTION("""COMPUTED_VALUE"""),16.13)</f>
        <v>16.13</v>
      </c>
      <c r="C11" s="3">
        <v>-4.99976351552483</v>
      </c>
    </row>
    <row r="12">
      <c r="A12" s="1">
        <f>IFERROR(__xludf.DUMMYFUNCTION("""COMPUTED_VALUE"""),43595.66666666667)</f>
        <v>43595.66667</v>
      </c>
      <c r="B12" s="2">
        <f>IFERROR(__xludf.DUMMYFUNCTION("""COMPUTED_VALUE"""),15.97)</f>
        <v>15.97</v>
      </c>
      <c r="C12" s="3">
        <v>-6.44296450326415</v>
      </c>
    </row>
    <row r="13">
      <c r="A13" s="1">
        <f>IFERROR(__xludf.DUMMYFUNCTION("""COMPUTED_VALUE"""),43598.66666666667)</f>
        <v>43598.66667</v>
      </c>
      <c r="B13" s="2">
        <f>IFERROR(__xludf.DUMMYFUNCTION("""COMPUTED_VALUE"""),15.13)</f>
        <v>15.13</v>
      </c>
      <c r="C13" s="3">
        <v>-7.27144223765707</v>
      </c>
    </row>
    <row r="14">
      <c r="A14" s="1">
        <f>IFERROR(__xludf.DUMMYFUNCTION("""COMPUTED_VALUE"""),43599.66666666667)</f>
        <v>43599.66667</v>
      </c>
      <c r="B14" s="2">
        <f>IFERROR(__xludf.DUMMYFUNCTION("""COMPUTED_VALUE"""),15.49)</f>
        <v>15.49</v>
      </c>
      <c r="C14" s="3">
        <v>-9.02863496090147</v>
      </c>
    </row>
    <row r="15">
      <c r="A15" s="1">
        <f>IFERROR(__xludf.DUMMYFUNCTION("""COMPUTED_VALUE"""),43600.66666666667)</f>
        <v>43600.66667</v>
      </c>
      <c r="B15" s="2">
        <f>IFERROR(__xludf.DUMMYFUNCTION("""COMPUTED_VALUE"""),15.46)</f>
        <v>15.46</v>
      </c>
      <c r="C15" s="3">
        <v>-9.44594106666094</v>
      </c>
    </row>
    <row r="16">
      <c r="A16" s="1">
        <f>IFERROR(__xludf.DUMMYFUNCTION("""COMPUTED_VALUE"""),43601.66666666667)</f>
        <v>43601.66667</v>
      </c>
      <c r="B16" s="2">
        <f>IFERROR(__xludf.DUMMYFUNCTION("""COMPUTED_VALUE"""),15.22)</f>
        <v>15.22</v>
      </c>
      <c r="C16" s="3">
        <v>-10.9809255073538</v>
      </c>
    </row>
    <row r="17">
      <c r="A17" s="1">
        <f>IFERROR(__xludf.DUMMYFUNCTION("""COMPUTED_VALUE"""),43602.66666666667)</f>
        <v>43602.66667</v>
      </c>
      <c r="B17" s="2">
        <f>IFERROR(__xludf.DUMMYFUNCTION("""COMPUTED_VALUE"""),14.07)</f>
        <v>14.07</v>
      </c>
      <c r="C17" s="3">
        <v>-12.106247952142</v>
      </c>
    </row>
    <row r="18">
      <c r="A18" s="1">
        <f>IFERROR(__xludf.DUMMYFUNCTION("""COMPUTED_VALUE"""),43605.66666666667)</f>
        <v>43605.66667</v>
      </c>
      <c r="B18" s="2">
        <f>IFERROR(__xludf.DUMMYFUNCTION("""COMPUTED_VALUE"""),13.69)</f>
        <v>13.69</v>
      </c>
      <c r="C18" s="3">
        <v>-11.3821932228052</v>
      </c>
    </row>
    <row r="19">
      <c r="A19" s="1">
        <f>IFERROR(__xludf.DUMMYFUNCTION("""COMPUTED_VALUE"""),43606.66666666667)</f>
        <v>43606.66667</v>
      </c>
      <c r="B19" s="2">
        <f>IFERROR(__xludf.DUMMYFUNCTION("""COMPUTED_VALUE"""),13.67)</f>
        <v>13.67</v>
      </c>
      <c r="C19" s="3">
        <v>-12.4485544508097</v>
      </c>
    </row>
    <row r="20">
      <c r="A20" s="1">
        <f>IFERROR(__xludf.DUMMYFUNCTION("""COMPUTED_VALUE"""),43607.66666666667)</f>
        <v>43607.66667</v>
      </c>
      <c r="B20" s="2">
        <f>IFERROR(__xludf.DUMMYFUNCTION("""COMPUTED_VALUE"""),12.85)</f>
        <v>12.85</v>
      </c>
      <c r="C20" s="3">
        <v>-12.1073958378</v>
      </c>
    </row>
    <row r="21">
      <c r="A21" s="1">
        <f>IFERROR(__xludf.DUMMYFUNCTION("""COMPUTED_VALUE"""),43608.66666666667)</f>
        <v>43608.66667</v>
      </c>
      <c r="B21" s="2">
        <f>IFERROR(__xludf.DUMMYFUNCTION("""COMPUTED_VALUE"""),13.03)</f>
        <v>13.03</v>
      </c>
      <c r="C21" s="3">
        <v>-12.8305830073906</v>
      </c>
    </row>
    <row r="22">
      <c r="A22" s="1">
        <f>IFERROR(__xludf.DUMMYFUNCTION("""COMPUTED_VALUE"""),43609.66666666667)</f>
        <v>43609.66667</v>
      </c>
      <c r="B22" s="2">
        <f>IFERROR(__xludf.DUMMYFUNCTION("""COMPUTED_VALUE"""),12.71)</f>
        <v>12.71</v>
      </c>
      <c r="C22" s="3">
        <v>-13.1064703474624</v>
      </c>
    </row>
    <row r="23">
      <c r="A23" s="1">
        <f>IFERROR(__xludf.DUMMYFUNCTION("""COMPUTED_VALUE"""),43613.66666666667)</f>
        <v>43613.66667</v>
      </c>
      <c r="B23" s="2">
        <f>IFERROR(__xludf.DUMMYFUNCTION("""COMPUTED_VALUE"""),12.58)</f>
        <v>12.58</v>
      </c>
      <c r="C23" s="3">
        <v>-10.0125468458797</v>
      </c>
    </row>
    <row r="24">
      <c r="A24" s="1">
        <f>IFERROR(__xludf.DUMMYFUNCTION("""COMPUTED_VALUE"""),43614.66666666667)</f>
        <v>43614.66667</v>
      </c>
      <c r="B24" s="2">
        <f>IFERROR(__xludf.DUMMYFUNCTION("""COMPUTED_VALUE"""),12.66)</f>
        <v>12.66</v>
      </c>
      <c r="C24" s="3">
        <v>-8.88670428140525</v>
      </c>
    </row>
    <row r="25">
      <c r="A25" s="1">
        <f>IFERROR(__xludf.DUMMYFUNCTION("""COMPUTED_VALUE"""),43615.66666666667)</f>
        <v>43615.66667</v>
      </c>
      <c r="B25" s="2">
        <f>IFERROR(__xludf.DUMMYFUNCTION("""COMPUTED_VALUE"""),12.55)</f>
        <v>12.55</v>
      </c>
      <c r="C25" s="3">
        <v>-8.88582666729236</v>
      </c>
    </row>
    <row r="26">
      <c r="A26" s="1">
        <f>IFERROR(__xludf.DUMMYFUNCTION("""COMPUTED_VALUE"""),43616.66666666667)</f>
        <v>43616.66667</v>
      </c>
      <c r="B26" s="2">
        <f>IFERROR(__xludf.DUMMYFUNCTION("""COMPUTED_VALUE"""),12.34)</f>
        <v>12.34</v>
      </c>
      <c r="C26" s="3">
        <v>-8.51117403470304</v>
      </c>
    </row>
    <row r="27">
      <c r="A27" s="1">
        <f>IFERROR(__xludf.DUMMYFUNCTION("""COMPUTED_VALUE"""),43619.66666666667)</f>
        <v>43619.66667</v>
      </c>
      <c r="B27" s="2">
        <f>IFERROR(__xludf.DUMMYFUNCTION("""COMPUTED_VALUE"""),11.93)</f>
        <v>11.93</v>
      </c>
      <c r="C27" s="3">
        <v>-3.7684834997594</v>
      </c>
    </row>
    <row r="28">
      <c r="A28" s="1">
        <f>IFERROR(__xludf.DUMMYFUNCTION("""COMPUTED_VALUE"""),43620.66666666667)</f>
        <v>43620.66667</v>
      </c>
      <c r="B28" s="2">
        <f>IFERROR(__xludf.DUMMYFUNCTION("""COMPUTED_VALUE"""),12.91)</f>
        <v>12.91</v>
      </c>
      <c r="C28" s="3">
        <v>-3.73290374387634</v>
      </c>
    </row>
    <row r="29">
      <c r="A29" s="1">
        <f>IFERROR(__xludf.DUMMYFUNCTION("""COMPUTED_VALUE"""),43621.66666666667)</f>
        <v>43621.66667</v>
      </c>
      <c r="B29" s="2">
        <f>IFERROR(__xludf.DUMMYFUNCTION("""COMPUTED_VALUE"""),13.11)</f>
        <v>13.11</v>
      </c>
      <c r="C29" s="3">
        <v>-2.4393858038436</v>
      </c>
    </row>
    <row r="30">
      <c r="A30" s="1">
        <f>IFERROR(__xludf.DUMMYFUNCTION("""COMPUTED_VALUE"""),43622.66666666667)</f>
        <v>43622.66667</v>
      </c>
      <c r="B30" s="2">
        <f>IFERROR(__xludf.DUMMYFUNCTION("""COMPUTED_VALUE"""),13.73)</f>
        <v>13.73</v>
      </c>
      <c r="C30" s="3">
        <v>-2.37259716978528</v>
      </c>
    </row>
    <row r="31">
      <c r="A31" s="1">
        <f>IFERROR(__xludf.DUMMYFUNCTION("""COMPUTED_VALUE"""),43623.66666666667)</f>
        <v>43623.66667</v>
      </c>
      <c r="B31" s="2">
        <f>IFERROR(__xludf.DUMMYFUNCTION("""COMPUTED_VALUE"""),13.63)</f>
        <v>13.63</v>
      </c>
      <c r="C31" s="3">
        <v>-2.02946577820835</v>
      </c>
    </row>
    <row r="32">
      <c r="A32" s="1">
        <f>IFERROR(__xludf.DUMMYFUNCTION("""COMPUTED_VALUE"""),43626.66666666667)</f>
        <v>43626.66667</v>
      </c>
      <c r="B32" s="2">
        <f>IFERROR(__xludf.DUMMYFUNCTION("""COMPUTED_VALUE"""),14.19)</f>
        <v>14.19</v>
      </c>
      <c r="C32" s="3">
        <v>2.11164356847165</v>
      </c>
    </row>
    <row r="33">
      <c r="A33" s="1">
        <f>IFERROR(__xludf.DUMMYFUNCTION("""COMPUTED_VALUE"""),43627.66666666667)</f>
        <v>43627.66667</v>
      </c>
      <c r="B33" s="2">
        <f>IFERROR(__xludf.DUMMYFUNCTION("""COMPUTED_VALUE"""),14.47)</f>
        <v>14.47</v>
      </c>
      <c r="C33" s="3">
        <v>1.81308810933752</v>
      </c>
    </row>
    <row r="34">
      <c r="A34" s="1">
        <f>IFERROR(__xludf.DUMMYFUNCTION("""COMPUTED_VALUE"""),43628.66666666667)</f>
        <v>43628.66667</v>
      </c>
      <c r="B34" s="2">
        <f>IFERROR(__xludf.DUMMYFUNCTION("""COMPUTED_VALUE"""),13.95)</f>
        <v>13.95</v>
      </c>
      <c r="C34" s="3">
        <v>2.72696614737431</v>
      </c>
    </row>
    <row r="35">
      <c r="A35" s="1">
        <f>IFERROR(__xludf.DUMMYFUNCTION("""COMPUTED_VALUE"""),43629.66666666667)</f>
        <v>43629.66667</v>
      </c>
      <c r="B35" s="2">
        <f>IFERROR(__xludf.DUMMYFUNCTION("""COMPUTED_VALUE"""),14.26)</f>
        <v>14.26</v>
      </c>
      <c r="C35" s="3">
        <v>2.38274860922321</v>
      </c>
    </row>
    <row r="36">
      <c r="A36" s="1">
        <f>IFERROR(__xludf.DUMMYFUNCTION("""COMPUTED_VALUE"""),43630.66666666667)</f>
        <v>43630.66667</v>
      </c>
      <c r="B36" s="2">
        <f>IFERROR(__xludf.DUMMYFUNCTION("""COMPUTED_VALUE"""),14.33)</f>
        <v>14.33</v>
      </c>
      <c r="C36" s="3">
        <v>2.29797833183388</v>
      </c>
    </row>
    <row r="37">
      <c r="A37" s="1">
        <f>IFERROR(__xludf.DUMMYFUNCTION("""COMPUTED_VALUE"""),43633.66666666667)</f>
        <v>43633.66667</v>
      </c>
      <c r="B37" s="2">
        <f>IFERROR(__xludf.DUMMYFUNCTION("""COMPUTED_VALUE"""),15.0)</f>
        <v>15</v>
      </c>
      <c r="C37" s="3">
        <v>5.19503440702484</v>
      </c>
    </row>
    <row r="38">
      <c r="A38" s="1">
        <f>IFERROR(__xludf.DUMMYFUNCTION("""COMPUTED_VALUE"""),43634.66666666667)</f>
        <v>43634.66667</v>
      </c>
      <c r="B38" s="2">
        <f>IFERROR(__xludf.DUMMYFUNCTION("""COMPUTED_VALUE"""),14.98)</f>
        <v>14.98</v>
      </c>
      <c r="C38" s="3">
        <v>4.53806088799838</v>
      </c>
    </row>
    <row r="39">
      <c r="A39" s="1">
        <f>IFERROR(__xludf.DUMMYFUNCTION("""COMPUTED_VALUE"""),43635.66666666667)</f>
        <v>43635.66667</v>
      </c>
      <c r="B39" s="2">
        <f>IFERROR(__xludf.DUMMYFUNCTION("""COMPUTED_VALUE"""),15.1)</f>
        <v>15.1</v>
      </c>
      <c r="C39" s="3">
        <v>5.13997853547695</v>
      </c>
    </row>
    <row r="40">
      <c r="A40" s="1">
        <f>IFERROR(__xludf.DUMMYFUNCTION("""COMPUTED_VALUE"""),43636.66666666667)</f>
        <v>43636.66667</v>
      </c>
      <c r="B40" s="2">
        <f>IFERROR(__xludf.DUMMYFUNCTION("""COMPUTED_VALUE"""),14.64)</f>
        <v>14.64</v>
      </c>
      <c r="C40" s="3">
        <v>4.53872256130146</v>
      </c>
    </row>
    <row r="41">
      <c r="A41" s="1">
        <f>IFERROR(__xludf.DUMMYFUNCTION("""COMPUTED_VALUE"""),43637.66666666667)</f>
        <v>43637.66667</v>
      </c>
      <c r="B41" s="2">
        <f>IFERROR(__xludf.DUMMYFUNCTION("""COMPUTED_VALUE"""),14.79)</f>
        <v>14.79</v>
      </c>
      <c r="C41" s="3">
        <v>4.25830647118823</v>
      </c>
    </row>
    <row r="42">
      <c r="A42" s="1">
        <f>IFERROR(__xludf.DUMMYFUNCTION("""COMPUTED_VALUE"""),43640.66666666667)</f>
        <v>43640.66667</v>
      </c>
      <c r="B42" s="2">
        <f>IFERROR(__xludf.DUMMYFUNCTION("""COMPUTED_VALUE"""),14.91)</f>
        <v>14.91</v>
      </c>
      <c r="C42" s="3">
        <v>6.96915400854637</v>
      </c>
    </row>
    <row r="43">
      <c r="A43" s="1">
        <f>IFERROR(__xludf.DUMMYFUNCTION("""COMPUTED_VALUE"""),43641.66666666667)</f>
        <v>43641.66667</v>
      </c>
      <c r="B43" s="2">
        <f>IFERROR(__xludf.DUMMYFUNCTION("""COMPUTED_VALUE"""),14.65)</f>
        <v>14.65</v>
      </c>
      <c r="C43" s="3">
        <v>6.38350523806438</v>
      </c>
    </row>
    <row r="44">
      <c r="A44" s="1">
        <f>IFERROR(__xludf.DUMMYFUNCTION("""COMPUTED_VALUE"""),43642.66666666667)</f>
        <v>43642.66667</v>
      </c>
      <c r="B44" s="2">
        <f>IFERROR(__xludf.DUMMYFUNCTION("""COMPUTED_VALUE"""),14.62)</f>
        <v>14.62</v>
      </c>
      <c r="C44" s="3">
        <v>7.11807349652005</v>
      </c>
    </row>
    <row r="45">
      <c r="A45" s="1">
        <f>IFERROR(__xludf.DUMMYFUNCTION("""COMPUTED_VALUE"""),43643.66666666667)</f>
        <v>43643.66667</v>
      </c>
      <c r="B45" s="2">
        <f>IFERROR(__xludf.DUMMYFUNCTION("""COMPUTED_VALUE"""),14.86)</f>
        <v>14.86</v>
      </c>
      <c r="C45" s="3">
        <v>6.70469853417457</v>
      </c>
    </row>
    <row r="46">
      <c r="A46" s="1">
        <f>IFERROR(__xludf.DUMMYFUNCTION("""COMPUTED_VALUE"""),43644.66666666667)</f>
        <v>43644.66667</v>
      </c>
      <c r="B46" s="2">
        <f>IFERROR(__xludf.DUMMYFUNCTION("""COMPUTED_VALUE"""),14.9)</f>
        <v>14.9</v>
      </c>
      <c r="C46" s="3">
        <v>6.65968215025251</v>
      </c>
    </row>
    <row r="47">
      <c r="A47" s="1">
        <f>IFERROR(__xludf.DUMMYFUNCTION("""COMPUTED_VALUE"""),43647.66666666667)</f>
        <v>43647.66667</v>
      </c>
      <c r="B47" s="2">
        <f>IFERROR(__xludf.DUMMYFUNCTION("""COMPUTED_VALUE"""),15.14)</f>
        <v>15.14</v>
      </c>
      <c r="C47" s="3">
        <v>10.2664626855916</v>
      </c>
    </row>
    <row r="48">
      <c r="A48" s="1">
        <f>IFERROR(__xludf.DUMMYFUNCTION("""COMPUTED_VALUE"""),43648.66666666667)</f>
        <v>43648.66667</v>
      </c>
      <c r="B48" s="2">
        <f>IFERROR(__xludf.DUMMYFUNCTION("""COMPUTED_VALUE"""),14.97)</f>
        <v>14.97</v>
      </c>
      <c r="C48" s="3">
        <v>10.0070815815184</v>
      </c>
    </row>
    <row r="49">
      <c r="A49" s="1">
        <f>IFERROR(__xludf.DUMMYFUNCTION("""COMPUTED_VALUE"""),43649.54166666667)</f>
        <v>43649.54167</v>
      </c>
      <c r="B49" s="2">
        <f>IFERROR(__xludf.DUMMYFUNCTION("""COMPUTED_VALUE"""),15.66)</f>
        <v>15.66</v>
      </c>
      <c r="C49" s="3">
        <v>11.0632037744086</v>
      </c>
    </row>
    <row r="50">
      <c r="A50" s="1">
        <f>IFERROR(__xludf.DUMMYFUNCTION("""COMPUTED_VALUE"""),43651.66666666667)</f>
        <v>43651.66667</v>
      </c>
      <c r="B50" s="2">
        <f>IFERROR(__xludf.DUMMYFUNCTION("""COMPUTED_VALUE"""),15.54)</f>
        <v>15.54</v>
      </c>
      <c r="C50" s="3">
        <v>11.1911525318759</v>
      </c>
    </row>
    <row r="51">
      <c r="A51" s="1">
        <f>IFERROR(__xludf.DUMMYFUNCTION("""COMPUTED_VALUE"""),43654.66666666667)</f>
        <v>43654.66667</v>
      </c>
      <c r="B51" s="2">
        <f>IFERROR(__xludf.DUMMYFUNCTION("""COMPUTED_VALUE"""),15.36)</f>
        <v>15.36</v>
      </c>
      <c r="C51" s="3">
        <v>15.3988347321706</v>
      </c>
    </row>
    <row r="52">
      <c r="A52" s="1">
        <f>IFERROR(__xludf.DUMMYFUNCTION("""COMPUTED_VALUE"""),43655.66666666667)</f>
        <v>43655.66667</v>
      </c>
      <c r="B52" s="2">
        <f>IFERROR(__xludf.DUMMYFUNCTION("""COMPUTED_VALUE"""),15.34)</f>
        <v>15.34</v>
      </c>
      <c r="C52" s="3">
        <v>15.2379792231387</v>
      </c>
    </row>
    <row r="53">
      <c r="A53" s="1">
        <f>IFERROR(__xludf.DUMMYFUNCTION("""COMPUTED_VALUE"""),43656.66666666667)</f>
        <v>43656.66667</v>
      </c>
      <c r="B53" s="2">
        <f>IFERROR(__xludf.DUMMYFUNCTION("""COMPUTED_VALUE"""),15.93)</f>
        <v>15.93</v>
      </c>
      <c r="C53" s="3">
        <v>16.3348757880963</v>
      </c>
    </row>
    <row r="54">
      <c r="A54" s="1">
        <f>IFERROR(__xludf.DUMMYFUNCTION("""COMPUTED_VALUE"""),43657.66666666667)</f>
        <v>43657.66667</v>
      </c>
      <c r="B54" s="2">
        <f>IFERROR(__xludf.DUMMYFUNCTION("""COMPUTED_VALUE"""),15.91)</f>
        <v>15.91</v>
      </c>
      <c r="C54" s="3">
        <v>16.2090330110762</v>
      </c>
    </row>
    <row r="55">
      <c r="A55" s="1">
        <f>IFERROR(__xludf.DUMMYFUNCTION("""COMPUTED_VALUE"""),43658.66666666667)</f>
        <v>43658.66667</v>
      </c>
      <c r="B55" s="2">
        <f>IFERROR(__xludf.DUMMYFUNCTION("""COMPUTED_VALUE"""),16.34)</f>
        <v>16.34</v>
      </c>
      <c r="C55" s="3">
        <v>16.3668452191244</v>
      </c>
    </row>
    <row r="56">
      <c r="A56" s="1">
        <f>IFERROR(__xludf.DUMMYFUNCTION("""COMPUTED_VALUE"""),43661.66666666667)</f>
        <v>43661.66667</v>
      </c>
      <c r="B56" s="2">
        <f>IFERROR(__xludf.DUMMYFUNCTION("""COMPUTED_VALUE"""),16.9)</f>
        <v>16.9</v>
      </c>
      <c r="C56" s="3">
        <v>20.0156411316283</v>
      </c>
    </row>
    <row r="57">
      <c r="A57" s="1">
        <f>IFERROR(__xludf.DUMMYFUNCTION("""COMPUTED_VALUE"""),43662.66666666667)</f>
        <v>43662.66667</v>
      </c>
      <c r="B57" s="2">
        <f>IFERROR(__xludf.DUMMYFUNCTION("""COMPUTED_VALUE"""),16.83)</f>
        <v>16.83</v>
      </c>
      <c r="C57" s="3">
        <v>19.5762894643527</v>
      </c>
    </row>
    <row r="58">
      <c r="A58" s="1">
        <f>IFERROR(__xludf.DUMMYFUNCTION("""COMPUTED_VALUE"""),43663.66666666667)</f>
        <v>43663.66667</v>
      </c>
      <c r="B58" s="2">
        <f>IFERROR(__xludf.DUMMYFUNCTION("""COMPUTED_VALUE"""),16.99)</f>
        <v>16.99</v>
      </c>
      <c r="C58" s="3">
        <v>20.3599158949557</v>
      </c>
    </row>
    <row r="59">
      <c r="A59" s="1">
        <f>IFERROR(__xludf.DUMMYFUNCTION("""COMPUTED_VALUE"""),43664.66666666667)</f>
        <v>43664.66667</v>
      </c>
      <c r="B59" s="2">
        <f>IFERROR(__xludf.DUMMYFUNCTION("""COMPUTED_VALUE"""),16.9)</f>
        <v>16.9</v>
      </c>
      <c r="C59" s="3">
        <v>19.8941423914486</v>
      </c>
    </row>
    <row r="60">
      <c r="A60" s="1">
        <f>IFERROR(__xludf.DUMMYFUNCTION("""COMPUTED_VALUE"""),43665.66666666667)</f>
        <v>43665.66667</v>
      </c>
      <c r="B60" s="2">
        <f>IFERROR(__xludf.DUMMYFUNCTION("""COMPUTED_VALUE"""),17.21)</f>
        <v>17.21</v>
      </c>
      <c r="C60" s="3">
        <v>19.6939808810332</v>
      </c>
    </row>
    <row r="61">
      <c r="A61" s="1">
        <f>IFERROR(__xludf.DUMMYFUNCTION("""COMPUTED_VALUE"""),43668.66666666667)</f>
        <v>43668.66667</v>
      </c>
      <c r="B61" s="2">
        <f>IFERROR(__xludf.DUMMYFUNCTION("""COMPUTED_VALUE"""),17.05)</f>
        <v>17.05</v>
      </c>
      <c r="C61" s="3">
        <v>22.2484243935952</v>
      </c>
    </row>
    <row r="62">
      <c r="A62" s="1">
        <f>IFERROR(__xludf.DUMMYFUNCTION("""COMPUTED_VALUE"""),43669.66666666667)</f>
        <v>43669.66667</v>
      </c>
      <c r="B62" s="2">
        <f>IFERROR(__xludf.DUMMYFUNCTION("""COMPUTED_VALUE"""),17.34)</f>
        <v>17.34</v>
      </c>
      <c r="C62" s="3">
        <v>21.4653881324645</v>
      </c>
    </row>
    <row r="63">
      <c r="A63" s="1">
        <f>IFERROR(__xludf.DUMMYFUNCTION("""COMPUTED_VALUE"""),43670.66666666667)</f>
        <v>43670.66667</v>
      </c>
      <c r="B63" s="2">
        <f>IFERROR(__xludf.DUMMYFUNCTION("""COMPUTED_VALUE"""),17.66)</f>
        <v>17.66</v>
      </c>
      <c r="C63" s="3">
        <v>21.9282739364859</v>
      </c>
    </row>
    <row r="64">
      <c r="A64" s="1">
        <f>IFERROR(__xludf.DUMMYFUNCTION("""COMPUTED_VALUE"""),43671.66666666667)</f>
        <v>43671.66667</v>
      </c>
      <c r="B64" s="2">
        <f>IFERROR(__xludf.DUMMYFUNCTION("""COMPUTED_VALUE"""),15.25)</f>
        <v>15.25</v>
      </c>
      <c r="C64" s="3">
        <v>21.17075326902</v>
      </c>
    </row>
    <row r="65">
      <c r="A65" s="1">
        <f>IFERROR(__xludf.DUMMYFUNCTION("""COMPUTED_VALUE"""),43672.66666666667)</f>
        <v>43672.66667</v>
      </c>
      <c r="B65" s="2">
        <f>IFERROR(__xludf.DUMMYFUNCTION("""COMPUTED_VALUE"""),15.2)</f>
        <v>15.2</v>
      </c>
      <c r="C65" s="3">
        <v>20.7127291114179</v>
      </c>
    </row>
    <row r="66">
      <c r="A66" s="1">
        <f>IFERROR(__xludf.DUMMYFUNCTION("""COMPUTED_VALUE"""),43675.66666666667)</f>
        <v>43675.66667</v>
      </c>
      <c r="B66" s="2">
        <f>IFERROR(__xludf.DUMMYFUNCTION("""COMPUTED_VALUE"""),15.72)</f>
        <v>15.72</v>
      </c>
      <c r="C66" s="3">
        <v>22.7264231760426</v>
      </c>
    </row>
    <row r="67">
      <c r="A67" s="1">
        <f>IFERROR(__xludf.DUMMYFUNCTION("""COMPUTED_VALUE"""),43676.66666666667)</f>
        <v>43676.66667</v>
      </c>
      <c r="B67" s="2">
        <f>IFERROR(__xludf.DUMMYFUNCTION("""COMPUTED_VALUE"""),16.15)</f>
        <v>16.15</v>
      </c>
      <c r="C67" s="3">
        <v>21.8439027076482</v>
      </c>
    </row>
    <row r="68">
      <c r="A68" s="1">
        <f>IFERROR(__xludf.DUMMYFUNCTION("""COMPUTED_VALUE"""),43677.66666666667)</f>
        <v>43677.66667</v>
      </c>
      <c r="B68" s="2">
        <f>IFERROR(__xludf.DUMMYFUNCTION("""COMPUTED_VALUE"""),16.11)</f>
        <v>16.11</v>
      </c>
      <c r="C68" s="3">
        <v>22.2460205679569</v>
      </c>
    </row>
    <row r="69">
      <c r="A69" s="1">
        <f>IFERROR(__xludf.DUMMYFUNCTION("""COMPUTED_VALUE"""),43678.66666666667)</f>
        <v>43678.66667</v>
      </c>
      <c r="B69" s="2">
        <f>IFERROR(__xludf.DUMMYFUNCTION("""COMPUTED_VALUE"""),15.59)</f>
        <v>15.59</v>
      </c>
      <c r="C69" s="3">
        <v>21.4636880211119</v>
      </c>
    </row>
    <row r="70">
      <c r="A70" s="1">
        <f>IFERROR(__xludf.DUMMYFUNCTION("""COMPUTED_VALUE"""),43679.66666666667)</f>
        <v>43679.66667</v>
      </c>
      <c r="B70" s="2">
        <f>IFERROR(__xludf.DUMMYFUNCTION("""COMPUTED_VALUE"""),15.62)</f>
        <v>15.62</v>
      </c>
      <c r="C70" s="3">
        <v>21.0130715096817</v>
      </c>
    </row>
    <row r="71">
      <c r="A71" s="1">
        <f>IFERROR(__xludf.DUMMYFUNCTION("""COMPUTED_VALUE"""),43682.66666666667)</f>
        <v>43682.66667</v>
      </c>
      <c r="B71" s="2">
        <f>IFERROR(__xludf.DUMMYFUNCTION("""COMPUTED_VALUE"""),15.22)</f>
        <v>15.22</v>
      </c>
      <c r="C71" s="3">
        <v>23.194318200295</v>
      </c>
    </row>
    <row r="72">
      <c r="A72" s="1">
        <f>IFERROR(__xludf.DUMMYFUNCTION("""COMPUTED_VALUE"""),43683.66666666667)</f>
        <v>43683.66667</v>
      </c>
      <c r="B72" s="2">
        <f>IFERROR(__xludf.DUMMYFUNCTION("""COMPUTED_VALUE"""),15.38)</f>
        <v>15.38</v>
      </c>
      <c r="C72" s="3">
        <v>22.3980754083738</v>
      </c>
    </row>
    <row r="73">
      <c r="A73" s="1">
        <f>IFERROR(__xludf.DUMMYFUNCTION("""COMPUTED_VALUE"""),43684.66666666667)</f>
        <v>43684.66667</v>
      </c>
      <c r="B73" s="2">
        <f>IFERROR(__xludf.DUMMYFUNCTION("""COMPUTED_VALUE"""),15.56)</f>
        <v>15.56</v>
      </c>
      <c r="C73" s="3">
        <v>22.8924668364659</v>
      </c>
    </row>
    <row r="74">
      <c r="A74" s="1">
        <f>IFERROR(__xludf.DUMMYFUNCTION("""COMPUTED_VALUE"""),43685.66666666667)</f>
        <v>43685.66667</v>
      </c>
      <c r="B74" s="2">
        <f>IFERROR(__xludf.DUMMYFUNCTION("""COMPUTED_VALUE"""),15.89)</f>
        <v>15.89</v>
      </c>
      <c r="C74" s="3">
        <v>22.2032226689371</v>
      </c>
    </row>
    <row r="75">
      <c r="A75" s="1">
        <f>IFERROR(__xludf.DUMMYFUNCTION("""COMPUTED_VALUE"""),43686.66666666667)</f>
        <v>43686.66667</v>
      </c>
      <c r="B75" s="2">
        <f>IFERROR(__xludf.DUMMYFUNCTION("""COMPUTED_VALUE"""),15.67)</f>
        <v>15.67</v>
      </c>
      <c r="C75" s="3">
        <v>21.8418543858907</v>
      </c>
    </row>
    <row r="76">
      <c r="A76" s="1">
        <f>IFERROR(__xludf.DUMMYFUNCTION("""COMPUTED_VALUE"""),43689.66666666667)</f>
        <v>43689.66667</v>
      </c>
      <c r="B76" s="2">
        <f>IFERROR(__xludf.DUMMYFUNCTION("""COMPUTED_VALUE"""),15.27)</f>
        <v>15.27</v>
      </c>
      <c r="C76" s="3">
        <v>24.2326934145025</v>
      </c>
    </row>
    <row r="77">
      <c r="A77" s="1">
        <f>IFERROR(__xludf.DUMMYFUNCTION("""COMPUTED_VALUE"""),43690.66666666667)</f>
        <v>43690.66667</v>
      </c>
      <c r="B77" s="2">
        <f>IFERROR(__xludf.DUMMYFUNCTION("""COMPUTED_VALUE"""),15.67)</f>
        <v>15.67</v>
      </c>
      <c r="C77" s="3">
        <v>23.4799045925788</v>
      </c>
    </row>
    <row r="78">
      <c r="A78" s="1">
        <f>IFERROR(__xludf.DUMMYFUNCTION("""COMPUTED_VALUE"""),43691.66666666667)</f>
        <v>43691.66667</v>
      </c>
      <c r="B78" s="2">
        <f>IFERROR(__xludf.DUMMYFUNCTION("""COMPUTED_VALUE"""),14.64)</f>
        <v>14.64</v>
      </c>
      <c r="C78" s="3">
        <v>24.0036185457553</v>
      </c>
    </row>
    <row r="79">
      <c r="A79" s="1">
        <f>IFERROR(__xludf.DUMMYFUNCTION("""COMPUTED_VALUE"""),43692.66666666667)</f>
        <v>43692.66667</v>
      </c>
      <c r="B79" s="2">
        <f>IFERROR(__xludf.DUMMYFUNCTION("""COMPUTED_VALUE"""),14.38)</f>
        <v>14.38</v>
      </c>
      <c r="C79" s="3">
        <v>23.3305899778158</v>
      </c>
    </row>
    <row r="80">
      <c r="A80" s="1">
        <f>IFERROR(__xludf.DUMMYFUNCTION("""COMPUTED_VALUE"""),43693.66666666667)</f>
        <v>43693.66667</v>
      </c>
      <c r="B80" s="2">
        <f>IFERROR(__xludf.DUMMYFUNCTION("""COMPUTED_VALUE"""),14.66)</f>
        <v>14.66</v>
      </c>
      <c r="C80" s="3">
        <v>22.9743454408948</v>
      </c>
    </row>
    <row r="81">
      <c r="A81" s="1">
        <f>IFERROR(__xludf.DUMMYFUNCTION("""COMPUTED_VALUE"""),43696.66666666667)</f>
        <v>43696.66667</v>
      </c>
      <c r="B81" s="2">
        <f>IFERROR(__xludf.DUMMYFUNCTION("""COMPUTED_VALUE"""),15.12)</f>
        <v>15.12</v>
      </c>
      <c r="C81" s="3">
        <v>25.3466208191829</v>
      </c>
    </row>
    <row r="82">
      <c r="A82" s="1">
        <f>IFERROR(__xludf.DUMMYFUNCTION("""COMPUTED_VALUE"""),43697.66666666667)</f>
        <v>43697.66667</v>
      </c>
      <c r="B82" s="2">
        <f>IFERROR(__xludf.DUMMYFUNCTION("""COMPUTED_VALUE"""),15.06)</f>
        <v>15.06</v>
      </c>
      <c r="C82" s="3">
        <v>24.5902321343387</v>
      </c>
    </row>
    <row r="83">
      <c r="A83" s="1">
        <f>IFERROR(__xludf.DUMMYFUNCTION("""COMPUTED_VALUE"""),43698.66666666667)</f>
        <v>43698.66667</v>
      </c>
      <c r="B83" s="2">
        <f>IFERROR(__xludf.DUMMYFUNCTION("""COMPUTED_VALUE"""),14.72)</f>
        <v>14.72</v>
      </c>
      <c r="C83" s="3">
        <v>25.1194097049685</v>
      </c>
    </row>
    <row r="84">
      <c r="A84" s="1">
        <f>IFERROR(__xludf.DUMMYFUNCTION("""COMPUTED_VALUE"""),43699.66666666667)</f>
        <v>43699.66667</v>
      </c>
      <c r="B84" s="2">
        <f>IFERROR(__xludf.DUMMYFUNCTION("""COMPUTED_VALUE"""),14.81)</f>
        <v>14.81</v>
      </c>
      <c r="C84" s="3">
        <v>24.4655939109516</v>
      </c>
    </row>
    <row r="85">
      <c r="A85" s="1">
        <f>IFERROR(__xludf.DUMMYFUNCTION("""COMPUTED_VALUE"""),43700.66666666667)</f>
        <v>43700.66667</v>
      </c>
      <c r="B85" s="2">
        <f>IFERROR(__xludf.DUMMYFUNCTION("""COMPUTED_VALUE"""),14.09)</f>
        <v>14.09</v>
      </c>
      <c r="C85" s="3">
        <v>24.1466805470947</v>
      </c>
    </row>
    <row r="86">
      <c r="A86" s="1">
        <f>IFERROR(__xludf.DUMMYFUNCTION("""COMPUTED_VALUE"""),43703.66666666667)</f>
        <v>43703.66667</v>
      </c>
      <c r="B86" s="2">
        <f>IFERROR(__xludf.DUMMYFUNCTION("""COMPUTED_VALUE"""),14.33)</f>
        <v>14.33</v>
      </c>
      <c r="C86" s="3">
        <v>26.77390659901</v>
      </c>
    </row>
    <row r="87">
      <c r="A87" s="1">
        <f>IFERROR(__xludf.DUMMYFUNCTION("""COMPUTED_VALUE"""),43704.66666666667)</f>
        <v>43704.66667</v>
      </c>
      <c r="B87" s="2">
        <f>IFERROR(__xludf.DUMMYFUNCTION("""COMPUTED_VALUE"""),14.27)</f>
        <v>14.27</v>
      </c>
      <c r="C87" s="3">
        <v>26.1570026189376</v>
      </c>
    </row>
    <row r="88">
      <c r="A88" s="1">
        <f>IFERROR(__xludf.DUMMYFUNCTION("""COMPUTED_VALUE"""),43705.66666666667)</f>
        <v>43705.66667</v>
      </c>
      <c r="B88" s="2">
        <f>IFERROR(__xludf.DUMMYFUNCTION("""COMPUTED_VALUE"""),14.37)</f>
        <v>14.37</v>
      </c>
      <c r="C88" s="3">
        <v>26.8534824519171</v>
      </c>
    </row>
    <row r="89">
      <c r="A89" s="1">
        <f>IFERROR(__xludf.DUMMYFUNCTION("""COMPUTED_VALUE"""),43706.66666666667)</f>
        <v>43706.66667</v>
      </c>
      <c r="B89" s="2">
        <f>IFERROR(__xludf.DUMMYFUNCTION("""COMPUTED_VALUE"""),14.78)</f>
        <v>14.78</v>
      </c>
      <c r="C89" s="3">
        <v>26.393170485243</v>
      </c>
    </row>
    <row r="90">
      <c r="A90" s="1">
        <f>IFERROR(__xludf.DUMMYFUNCTION("""COMPUTED_VALUE"""),43707.66666666667)</f>
        <v>43707.66667</v>
      </c>
      <c r="B90" s="2">
        <f>IFERROR(__xludf.DUMMYFUNCTION("""COMPUTED_VALUE"""),15.04)</f>
        <v>15.04</v>
      </c>
      <c r="C90" s="3">
        <v>26.2909681135228</v>
      </c>
    </row>
    <row r="91">
      <c r="A91" s="1">
        <f>IFERROR(__xludf.DUMMYFUNCTION("""COMPUTED_VALUE"""),43711.66666666667)</f>
        <v>43711.66667</v>
      </c>
      <c r="B91" s="2">
        <f>IFERROR(__xludf.DUMMYFUNCTION("""COMPUTED_VALUE"""),15.0)</f>
        <v>15</v>
      </c>
      <c r="C91" s="3">
        <v>29.2938760125092</v>
      </c>
    </row>
    <row r="92">
      <c r="A92" s="1">
        <f>IFERROR(__xludf.DUMMYFUNCTION("""COMPUTED_VALUE"""),43712.66666666667)</f>
        <v>43712.66667</v>
      </c>
      <c r="B92" s="2">
        <f>IFERROR(__xludf.DUMMYFUNCTION("""COMPUTED_VALUE"""),14.71)</f>
        <v>14.71</v>
      </c>
      <c r="C92" s="3">
        <v>30.2332815742448</v>
      </c>
    </row>
    <row r="93">
      <c r="A93" s="1">
        <f>IFERROR(__xludf.DUMMYFUNCTION("""COMPUTED_VALUE"""),43713.66666666667)</f>
        <v>43713.66667</v>
      </c>
      <c r="B93" s="2">
        <f>IFERROR(__xludf.DUMMYFUNCTION("""COMPUTED_VALUE"""),15.31)</f>
        <v>15.31</v>
      </c>
      <c r="C93" s="3">
        <v>29.996117991404</v>
      </c>
    </row>
    <row r="94">
      <c r="A94" s="1">
        <f>IFERROR(__xludf.DUMMYFUNCTION("""COMPUTED_VALUE"""),43714.66666666667)</f>
        <v>43714.66667</v>
      </c>
      <c r="B94" s="2">
        <f>IFERROR(__xludf.DUMMYFUNCTION("""COMPUTED_VALUE"""),15.16)</f>
        <v>15.16</v>
      </c>
      <c r="C94" s="3">
        <v>30.0875986010038</v>
      </c>
    </row>
    <row r="95">
      <c r="A95" s="1">
        <f>IFERROR(__xludf.DUMMYFUNCTION("""COMPUTED_VALUE"""),43717.66666666667)</f>
        <v>43717.66667</v>
      </c>
      <c r="B95" s="2">
        <f>IFERROR(__xludf.DUMMYFUNCTION("""COMPUTED_VALUE"""),15.45)</f>
        <v>15.45</v>
      </c>
      <c r="C95" s="3">
        <v>33.7629530508452</v>
      </c>
    </row>
    <row r="96">
      <c r="A96" s="1">
        <f>IFERROR(__xludf.DUMMYFUNCTION("""COMPUTED_VALUE"""),43718.66666666667)</f>
        <v>43718.66667</v>
      </c>
      <c r="B96" s="2">
        <f>IFERROR(__xludf.DUMMYFUNCTION("""COMPUTED_VALUE"""),15.7)</f>
        <v>15.7</v>
      </c>
      <c r="C96" s="3">
        <v>33.382549464787</v>
      </c>
    </row>
    <row r="97">
      <c r="A97" s="1">
        <f>IFERROR(__xludf.DUMMYFUNCTION("""COMPUTED_VALUE"""),43719.66666666667)</f>
        <v>43719.66667</v>
      </c>
      <c r="B97" s="2">
        <f>IFERROR(__xludf.DUMMYFUNCTION("""COMPUTED_VALUE"""),16.47)</f>
        <v>16.47</v>
      </c>
      <c r="C97" s="3">
        <v>34.2331274246771</v>
      </c>
    </row>
    <row r="98">
      <c r="A98" s="1">
        <f>IFERROR(__xludf.DUMMYFUNCTION("""COMPUTED_VALUE"""),43720.66666666667)</f>
        <v>43720.66667</v>
      </c>
      <c r="B98" s="2">
        <f>IFERROR(__xludf.DUMMYFUNCTION("""COMPUTED_VALUE"""),16.39)</f>
        <v>16.39</v>
      </c>
      <c r="C98" s="3">
        <v>33.8299731004526</v>
      </c>
    </row>
    <row r="99">
      <c r="A99" s="1">
        <f>IFERROR(__xludf.DUMMYFUNCTION("""COMPUTED_VALUE"""),43721.66666666667)</f>
        <v>43721.66667</v>
      </c>
      <c r="B99" s="2">
        <f>IFERROR(__xludf.DUMMYFUNCTION("""COMPUTED_VALUE"""),16.35)</f>
        <v>16.35</v>
      </c>
      <c r="C99" s="3">
        <v>33.6748644843693</v>
      </c>
    </row>
    <row r="100">
      <c r="A100" s="1">
        <f>IFERROR(__xludf.DUMMYFUNCTION("""COMPUTED_VALUE"""),43724.66666666667)</f>
        <v>43724.66667</v>
      </c>
      <c r="B100" s="2">
        <f>IFERROR(__xludf.DUMMYFUNCTION("""COMPUTED_VALUE"""),16.19)</f>
        <v>16.19</v>
      </c>
      <c r="C100" s="3">
        <v>36.1223898080786</v>
      </c>
    </row>
    <row r="101">
      <c r="A101" s="1">
        <f>IFERROR(__xludf.DUMMYFUNCTION("""COMPUTED_VALUE"""),43725.66666666667)</f>
        <v>43725.66667</v>
      </c>
      <c r="B101" s="2">
        <f>IFERROR(__xludf.DUMMYFUNCTION("""COMPUTED_VALUE"""),16.32)</f>
        <v>16.32</v>
      </c>
      <c r="C101" s="3">
        <v>35.1792580871417</v>
      </c>
    </row>
    <row r="102">
      <c r="A102" s="1">
        <f>IFERROR(__xludf.DUMMYFUNCTION("""COMPUTED_VALUE"""),43726.66666666667)</f>
        <v>43726.66667</v>
      </c>
      <c r="B102" s="2">
        <f>IFERROR(__xludf.DUMMYFUNCTION("""COMPUTED_VALUE"""),16.23)</f>
        <v>16.23</v>
      </c>
      <c r="C102" s="3">
        <v>35.4004646030015</v>
      </c>
    </row>
    <row r="103">
      <c r="A103" s="1">
        <f>IFERROR(__xludf.DUMMYFUNCTION("""COMPUTED_VALUE"""),43727.66666666667)</f>
        <v>43727.66667</v>
      </c>
      <c r="B103" s="2">
        <f>IFERROR(__xludf.DUMMYFUNCTION("""COMPUTED_VALUE"""),16.44)</f>
        <v>16.44</v>
      </c>
      <c r="C103" s="3">
        <v>34.3105073841976</v>
      </c>
    </row>
    <row r="104">
      <c r="A104" s="1">
        <f>IFERROR(__xludf.DUMMYFUNCTION("""COMPUTED_VALUE"""),43728.66666666667)</f>
        <v>43728.66667</v>
      </c>
      <c r="B104" s="2">
        <f>IFERROR(__xludf.DUMMYFUNCTION("""COMPUTED_VALUE"""),16.04)</f>
        <v>16.04</v>
      </c>
      <c r="C104" s="3">
        <v>33.4222873450418</v>
      </c>
    </row>
    <row r="105">
      <c r="A105" s="1">
        <f>IFERROR(__xludf.DUMMYFUNCTION("""COMPUTED_VALUE"""),43731.66666666667)</f>
        <v>43731.66667</v>
      </c>
      <c r="B105" s="2">
        <f>IFERROR(__xludf.DUMMYFUNCTION("""COMPUTED_VALUE"""),16.08)</f>
        <v>16.08</v>
      </c>
      <c r="C105" s="3">
        <v>33.5274671598301</v>
      </c>
    </row>
    <row r="106">
      <c r="A106" s="1">
        <f>IFERROR(__xludf.DUMMYFUNCTION("""COMPUTED_VALUE"""),43732.66666666667)</f>
        <v>43732.66667</v>
      </c>
      <c r="B106" s="2">
        <f>IFERROR(__xludf.DUMMYFUNCTION("""COMPUTED_VALUE"""),14.88)</f>
        <v>14.88</v>
      </c>
      <c r="C106" s="3">
        <v>31.8065342671375</v>
      </c>
    </row>
    <row r="107">
      <c r="A107" s="1">
        <f>IFERROR(__xludf.DUMMYFUNCTION("""COMPUTED_VALUE"""),43733.66666666667)</f>
        <v>43733.66667</v>
      </c>
      <c r="B107" s="2">
        <f>IFERROR(__xludf.DUMMYFUNCTION("""COMPUTED_VALUE"""),15.25)</f>
        <v>15.25</v>
      </c>
      <c r="C107" s="3">
        <v>31.2783318455389</v>
      </c>
    </row>
    <row r="108">
      <c r="A108" s="1">
        <f>IFERROR(__xludf.DUMMYFUNCTION("""COMPUTED_VALUE"""),43734.66666666667)</f>
        <v>43734.66667</v>
      </c>
      <c r="B108" s="2">
        <f>IFERROR(__xludf.DUMMYFUNCTION("""COMPUTED_VALUE"""),16.17)</f>
        <v>16.17</v>
      </c>
      <c r="C108" s="3">
        <v>29.4835983222564</v>
      </c>
    </row>
    <row r="109">
      <c r="A109" s="1">
        <f>IFERROR(__xludf.DUMMYFUNCTION("""COMPUTED_VALUE"""),43735.66666666667)</f>
        <v>43735.66667</v>
      </c>
      <c r="B109" s="2">
        <f>IFERROR(__xludf.DUMMYFUNCTION("""COMPUTED_VALUE"""),16.14)</f>
        <v>16.14</v>
      </c>
      <c r="C109" s="3">
        <v>27.9509491285319</v>
      </c>
    </row>
    <row r="110">
      <c r="A110" s="1">
        <f>IFERROR(__xludf.DUMMYFUNCTION("""COMPUTED_VALUE"""),43738.66666666667)</f>
        <v>43738.66667</v>
      </c>
      <c r="B110" s="2">
        <f>IFERROR(__xludf.DUMMYFUNCTION("""COMPUTED_VALUE"""),16.06)</f>
        <v>16.06</v>
      </c>
      <c r="C110" s="3">
        <v>26.6254358208133</v>
      </c>
    </row>
    <row r="111">
      <c r="A111" s="1">
        <f>IFERROR(__xludf.DUMMYFUNCTION("""COMPUTED_VALUE"""),43739.66666666667)</f>
        <v>43739.66667</v>
      </c>
      <c r="B111" s="2">
        <f>IFERROR(__xludf.DUMMYFUNCTION("""COMPUTED_VALUE"""),16.31)</f>
        <v>16.31</v>
      </c>
      <c r="C111" s="3">
        <v>24.6337270272896</v>
      </c>
    </row>
    <row r="112">
      <c r="A112" s="1">
        <f>IFERROR(__xludf.DUMMYFUNCTION("""COMPUTED_VALUE"""),43740.66666666667)</f>
        <v>43740.66667</v>
      </c>
      <c r="B112" s="2">
        <f>IFERROR(__xludf.DUMMYFUNCTION("""COMPUTED_VALUE"""),16.21)</f>
        <v>16.21</v>
      </c>
      <c r="C112" s="3">
        <v>23.9518054438577</v>
      </c>
    </row>
    <row r="113">
      <c r="A113" s="1">
        <f>IFERROR(__xludf.DUMMYFUNCTION("""COMPUTED_VALUE"""),43741.66666666667)</f>
        <v>43741.66667</v>
      </c>
      <c r="B113" s="2">
        <f>IFERROR(__xludf.DUMMYFUNCTION("""COMPUTED_VALUE"""),15.54)</f>
        <v>15.54</v>
      </c>
      <c r="C113" s="3">
        <v>22.1250640110285</v>
      </c>
    </row>
    <row r="114">
      <c r="A114" s="1">
        <f>IFERROR(__xludf.DUMMYFUNCTION("""COMPUTED_VALUE"""),43742.66666666667)</f>
        <v>43742.66667</v>
      </c>
      <c r="B114" s="2">
        <f>IFERROR(__xludf.DUMMYFUNCTION("""COMPUTED_VALUE"""),15.43)</f>
        <v>15.43</v>
      </c>
      <c r="C114" s="3">
        <v>20.6840173694705</v>
      </c>
    </row>
    <row r="115">
      <c r="A115" s="1">
        <f>IFERROR(__xludf.DUMMYFUNCTION("""COMPUTED_VALUE"""),43745.66666666667)</f>
        <v>43745.66667</v>
      </c>
      <c r="B115" s="2">
        <f>IFERROR(__xludf.DUMMYFUNCTION("""COMPUTED_VALUE"""),15.85)</f>
        <v>15.85</v>
      </c>
      <c r="C115" s="3">
        <v>20.3512424170035</v>
      </c>
    </row>
    <row r="116">
      <c r="A116" s="1">
        <f>IFERROR(__xludf.DUMMYFUNCTION("""COMPUTED_VALUE"""),43746.66666666667)</f>
        <v>43746.66667</v>
      </c>
      <c r="B116" s="2">
        <f>IFERROR(__xludf.DUMMYFUNCTION("""COMPUTED_VALUE"""),16.0)</f>
        <v>16</v>
      </c>
      <c r="C116" s="3">
        <v>18.9078540215868</v>
      </c>
    </row>
    <row r="117">
      <c r="A117" s="1">
        <f>IFERROR(__xludf.DUMMYFUNCTION("""COMPUTED_VALUE"""),43747.66666666667)</f>
        <v>43747.66667</v>
      </c>
      <c r="B117" s="2">
        <f>IFERROR(__xludf.DUMMYFUNCTION("""COMPUTED_VALUE"""),16.3)</f>
        <v>16.3</v>
      </c>
      <c r="C117" s="3">
        <v>18.8654907491914</v>
      </c>
    </row>
    <row r="118">
      <c r="A118" s="1">
        <f>IFERROR(__xludf.DUMMYFUNCTION("""COMPUTED_VALUE"""),43748.66666666667)</f>
        <v>43748.66667</v>
      </c>
      <c r="B118" s="2">
        <f>IFERROR(__xludf.DUMMYFUNCTION("""COMPUTED_VALUE"""),16.32)</f>
        <v>16.32</v>
      </c>
      <c r="C118" s="3">
        <v>17.7556498090889</v>
      </c>
    </row>
    <row r="119">
      <c r="A119" s="1">
        <f>IFERROR(__xludf.DUMMYFUNCTION("""COMPUTED_VALUE"""),43749.66666666667)</f>
        <v>43749.66667</v>
      </c>
      <c r="B119" s="2">
        <f>IFERROR(__xludf.DUMMYFUNCTION("""COMPUTED_VALUE"""),16.53)</f>
        <v>16.53</v>
      </c>
      <c r="C119" s="3">
        <v>17.0931235600161</v>
      </c>
    </row>
    <row r="120">
      <c r="A120" s="1">
        <f>IFERROR(__xludf.DUMMYFUNCTION("""COMPUTED_VALUE"""),43752.66666666667)</f>
        <v>43752.66667</v>
      </c>
      <c r="B120" s="2">
        <f>IFERROR(__xludf.DUMMYFUNCTION("""COMPUTED_VALUE"""),17.13)</f>
        <v>17.13</v>
      </c>
      <c r="C120" s="3">
        <v>19.2896056804326</v>
      </c>
    </row>
    <row r="121">
      <c r="A121" s="1">
        <f>IFERROR(__xludf.DUMMYFUNCTION("""COMPUTED_VALUE"""),43753.66666666667)</f>
        <v>43753.66667</v>
      </c>
      <c r="B121" s="2">
        <f>IFERROR(__xludf.DUMMYFUNCTION("""COMPUTED_VALUE"""),17.19)</f>
        <v>17.19</v>
      </c>
      <c r="C121" s="3">
        <v>18.6921227604022</v>
      </c>
    </row>
    <row r="122">
      <c r="A122" s="1">
        <f>IFERROR(__xludf.DUMMYFUNCTION("""COMPUTED_VALUE"""),43754.66666666667)</f>
        <v>43754.66667</v>
      </c>
      <c r="B122" s="2">
        <f>IFERROR(__xludf.DUMMYFUNCTION("""COMPUTED_VALUE"""),17.32)</f>
        <v>17.32</v>
      </c>
      <c r="C122" s="3">
        <v>19.4663538970098</v>
      </c>
    </row>
    <row r="123">
      <c r="A123" s="1">
        <f>IFERROR(__xludf.DUMMYFUNCTION("""COMPUTED_VALUE"""),43755.66666666667)</f>
        <v>43755.66667</v>
      </c>
      <c r="B123" s="2">
        <f>IFERROR(__xludf.DUMMYFUNCTION("""COMPUTED_VALUE"""),17.46)</f>
        <v>17.46</v>
      </c>
      <c r="C123" s="3">
        <v>19.1264723998362</v>
      </c>
    </row>
    <row r="124">
      <c r="A124" s="1">
        <f>IFERROR(__xludf.DUMMYFUNCTION("""COMPUTED_VALUE"""),43756.66666666667)</f>
        <v>43756.66667</v>
      </c>
      <c r="B124" s="2">
        <f>IFERROR(__xludf.DUMMYFUNCTION("""COMPUTED_VALUE"""),17.13)</f>
        <v>17.13</v>
      </c>
      <c r="C124" s="3">
        <v>19.2281463276972</v>
      </c>
    </row>
    <row r="125">
      <c r="A125" s="1">
        <f>IFERROR(__xludf.DUMMYFUNCTION("""COMPUTED_VALUE"""),43759.66666666667)</f>
        <v>43759.66667</v>
      </c>
      <c r="B125" s="2">
        <f>IFERROR(__xludf.DUMMYFUNCTION("""COMPUTED_VALUE"""),16.9)</f>
        <v>16.9</v>
      </c>
      <c r="C125" s="3">
        <v>23.2117304697282</v>
      </c>
    </row>
    <row r="126">
      <c r="A126" s="1">
        <f>IFERROR(__xludf.DUMMYFUNCTION("""COMPUTED_VALUE"""),43760.66666666667)</f>
        <v>43760.66667</v>
      </c>
      <c r="B126" s="2">
        <f>IFERROR(__xludf.DUMMYFUNCTION("""COMPUTED_VALUE"""),17.04)</f>
        <v>17.04</v>
      </c>
      <c r="C126" s="3">
        <v>23.0101608935591</v>
      </c>
    </row>
    <row r="127">
      <c r="A127" s="1">
        <f>IFERROR(__xludf.DUMMYFUNCTION("""COMPUTED_VALUE"""),43761.66666666667)</f>
        <v>43761.66667</v>
      </c>
      <c r="B127" s="2">
        <f>IFERROR(__xludf.DUMMYFUNCTION("""COMPUTED_VALUE"""),16.98)</f>
        <v>16.98</v>
      </c>
      <c r="C127" s="3">
        <v>24.0716441199104</v>
      </c>
    </row>
    <row r="128">
      <c r="A128" s="1">
        <f>IFERROR(__xludf.DUMMYFUNCTION("""COMPUTED_VALUE"""),43762.66666666667)</f>
        <v>43762.66667</v>
      </c>
      <c r="B128" s="2">
        <f>IFERROR(__xludf.DUMMYFUNCTION("""COMPUTED_VALUE"""),19.98)</f>
        <v>19.98</v>
      </c>
      <c r="C128" s="3">
        <v>23.9095094474544</v>
      </c>
    </row>
    <row r="129">
      <c r="A129" s="1">
        <f>IFERROR(__xludf.DUMMYFUNCTION("""COMPUTED_VALUE"""),43763.66666666667)</f>
        <v>43763.66667</v>
      </c>
      <c r="B129" s="2">
        <f>IFERROR(__xludf.DUMMYFUNCTION("""COMPUTED_VALUE"""),21.88)</f>
        <v>21.88</v>
      </c>
      <c r="C129" s="3">
        <v>24.0247540771322</v>
      </c>
    </row>
    <row r="130">
      <c r="A130" s="1">
        <f>IFERROR(__xludf.DUMMYFUNCTION("""COMPUTED_VALUE"""),43766.66666666667)</f>
        <v>43766.66667</v>
      </c>
      <c r="B130" s="2">
        <f>IFERROR(__xludf.DUMMYFUNCTION("""COMPUTED_VALUE"""),21.85)</f>
        <v>21.85</v>
      </c>
      <c r="C130" s="3">
        <v>27.4687068692529</v>
      </c>
    </row>
    <row r="131">
      <c r="A131" s="1">
        <f>IFERROR(__xludf.DUMMYFUNCTION("""COMPUTED_VALUE"""),43767.66666666667)</f>
        <v>43767.66667</v>
      </c>
      <c r="B131" s="2">
        <f>IFERROR(__xludf.DUMMYFUNCTION("""COMPUTED_VALUE"""),21.08)</f>
        <v>21.08</v>
      </c>
      <c r="C131" s="3">
        <v>26.9277184831371</v>
      </c>
    </row>
    <row r="132">
      <c r="A132" s="1">
        <f>IFERROR(__xludf.DUMMYFUNCTION("""COMPUTED_VALUE"""),43768.66666666667)</f>
        <v>43768.66667</v>
      </c>
      <c r="B132" s="2">
        <f>IFERROR(__xludf.DUMMYFUNCTION("""COMPUTED_VALUE"""),21.0)</f>
        <v>21</v>
      </c>
      <c r="C132" s="3">
        <v>27.5921812749864</v>
      </c>
    </row>
    <row r="133">
      <c r="A133" s="1">
        <f>IFERROR(__xludf.DUMMYFUNCTION("""COMPUTED_VALUE"""),43769.66666666667)</f>
        <v>43769.66667</v>
      </c>
      <c r="B133" s="2">
        <f>IFERROR(__xludf.DUMMYFUNCTION("""COMPUTED_VALUE"""),20.99)</f>
        <v>20.99</v>
      </c>
      <c r="C133" s="3">
        <v>26.991028409618</v>
      </c>
    </row>
    <row r="134">
      <c r="A134" s="1">
        <f>IFERROR(__xludf.DUMMYFUNCTION("""COMPUTED_VALUE"""),43770.66666666667)</f>
        <v>43770.66667</v>
      </c>
      <c r="B134" s="2">
        <f>IFERROR(__xludf.DUMMYFUNCTION("""COMPUTED_VALUE"""),20.89)</f>
        <v>20.89</v>
      </c>
      <c r="C134" s="3">
        <v>26.6417577136814</v>
      </c>
    </row>
    <row r="135">
      <c r="A135" s="1">
        <f>IFERROR(__xludf.DUMMYFUNCTION("""COMPUTED_VALUE"""),43773.66666666667)</f>
        <v>43773.66667</v>
      </c>
      <c r="B135" s="2">
        <f>IFERROR(__xludf.DUMMYFUNCTION("""COMPUTED_VALUE"""),21.16)</f>
        <v>21.16</v>
      </c>
      <c r="C135" s="3">
        <v>28.7071662887532</v>
      </c>
    </row>
    <row r="136">
      <c r="A136" s="1">
        <f>IFERROR(__xludf.DUMMYFUNCTION("""COMPUTED_VALUE"""),43774.66666666667)</f>
        <v>43774.66667</v>
      </c>
      <c r="B136" s="2">
        <f>IFERROR(__xludf.DUMMYFUNCTION("""COMPUTED_VALUE"""),21.15)</f>
        <v>21.15</v>
      </c>
      <c r="C136" s="3">
        <v>27.7651307376345</v>
      </c>
    </row>
    <row r="137">
      <c r="A137" s="1">
        <f>IFERROR(__xludf.DUMMYFUNCTION("""COMPUTED_VALUE"""),43775.66666666667)</f>
        <v>43775.66667</v>
      </c>
      <c r="B137" s="2">
        <f>IFERROR(__xludf.DUMMYFUNCTION("""COMPUTED_VALUE"""),21.77)</f>
        <v>21.77</v>
      </c>
      <c r="C137" s="3">
        <v>28.0815628886249</v>
      </c>
    </row>
    <row r="138">
      <c r="A138" s="1">
        <f>IFERROR(__xludf.DUMMYFUNCTION("""COMPUTED_VALUE"""),43776.66666666667)</f>
        <v>43776.66667</v>
      </c>
      <c r="B138" s="2">
        <f>IFERROR(__xludf.DUMMYFUNCTION("""COMPUTED_VALUE"""),22.37)</f>
        <v>22.37</v>
      </c>
      <c r="C138" s="3">
        <v>27.1969783284687</v>
      </c>
    </row>
    <row r="139">
      <c r="A139" s="1">
        <f>IFERROR(__xludf.DUMMYFUNCTION("""COMPUTED_VALUE"""),43777.66666666667)</f>
        <v>43777.66667</v>
      </c>
      <c r="B139" s="2">
        <f>IFERROR(__xludf.DUMMYFUNCTION("""COMPUTED_VALUE"""),22.48)</f>
        <v>22.48</v>
      </c>
      <c r="C139" s="3">
        <v>26.6381496541306</v>
      </c>
    </row>
    <row r="140">
      <c r="A140" s="1">
        <f>IFERROR(__xludf.DUMMYFUNCTION("""COMPUTED_VALUE"""),43780.66666666667)</f>
        <v>43780.66667</v>
      </c>
      <c r="B140" s="2">
        <f>IFERROR(__xludf.DUMMYFUNCTION("""COMPUTED_VALUE"""),23.01)</f>
        <v>23.01</v>
      </c>
      <c r="C140" s="3">
        <v>28.5708989762969</v>
      </c>
    </row>
    <row r="141">
      <c r="A141" s="1">
        <f>IFERROR(__xludf.DUMMYFUNCTION("""COMPUTED_VALUE"""),43781.66666666667)</f>
        <v>43781.66667</v>
      </c>
      <c r="B141" s="2">
        <f>IFERROR(__xludf.DUMMYFUNCTION("""COMPUTED_VALUE"""),23.33)</f>
        <v>23.33</v>
      </c>
      <c r="C141" s="3">
        <v>27.753213658768</v>
      </c>
    </row>
    <row r="142">
      <c r="A142" s="1">
        <f>IFERROR(__xludf.DUMMYFUNCTION("""COMPUTED_VALUE"""),43782.66666666667)</f>
        <v>43782.66667</v>
      </c>
      <c r="B142" s="2">
        <f>IFERROR(__xludf.DUMMYFUNCTION("""COMPUTED_VALUE"""),23.07)</f>
        <v>23.07</v>
      </c>
      <c r="C142" s="3">
        <v>28.2726043944839</v>
      </c>
    </row>
    <row r="143">
      <c r="A143" s="1">
        <f>IFERROR(__xludf.DUMMYFUNCTION("""COMPUTED_VALUE"""),43783.66666666667)</f>
        <v>43783.66667</v>
      </c>
      <c r="B143" s="2">
        <f>IFERROR(__xludf.DUMMYFUNCTION("""COMPUTED_VALUE"""),23.29)</f>
        <v>23.29</v>
      </c>
      <c r="C143" s="3">
        <v>27.6619849840212</v>
      </c>
    </row>
    <row r="144">
      <c r="A144" s="1">
        <f>IFERROR(__xludf.DUMMYFUNCTION("""COMPUTED_VALUE"""),43784.66666666667)</f>
        <v>43784.66667</v>
      </c>
      <c r="B144" s="2">
        <f>IFERROR(__xludf.DUMMYFUNCTION("""COMPUTED_VALUE"""),23.48)</f>
        <v>23.48</v>
      </c>
      <c r="C144" s="3">
        <v>27.4380094723031</v>
      </c>
    </row>
    <row r="145">
      <c r="A145" s="1">
        <f>IFERROR(__xludf.DUMMYFUNCTION("""COMPUTED_VALUE"""),43787.66666666667)</f>
        <v>43787.66667</v>
      </c>
      <c r="B145" s="2">
        <f>IFERROR(__xludf.DUMMYFUNCTION("""COMPUTED_VALUE"""),23.33)</f>
        <v>23.33</v>
      </c>
      <c r="C145" s="3">
        <v>30.6086183033517</v>
      </c>
    </row>
    <row r="146">
      <c r="A146" s="1">
        <f>IFERROR(__xludf.DUMMYFUNCTION("""COMPUTED_VALUE"""),43788.66666666667)</f>
        <v>43788.66667</v>
      </c>
      <c r="B146" s="2">
        <f>IFERROR(__xludf.DUMMYFUNCTION("""COMPUTED_VALUE"""),23.97)</f>
        <v>23.97</v>
      </c>
      <c r="C146" s="3">
        <v>30.2299194840846</v>
      </c>
    </row>
    <row r="147">
      <c r="A147" s="1">
        <f>IFERROR(__xludf.DUMMYFUNCTION("""COMPUTED_VALUE"""),43789.66666666667)</f>
        <v>43789.66667</v>
      </c>
      <c r="B147" s="2">
        <f>IFERROR(__xludf.DUMMYFUNCTION("""COMPUTED_VALUE"""),23.48)</f>
        <v>23.48</v>
      </c>
      <c r="C147" s="3">
        <v>31.1737511853341</v>
      </c>
    </row>
    <row r="148">
      <c r="A148" s="1">
        <f>IFERROR(__xludf.DUMMYFUNCTION("""COMPUTED_VALUE"""),43790.66666666667)</f>
        <v>43790.66667</v>
      </c>
      <c r="B148" s="2">
        <f>IFERROR(__xludf.DUMMYFUNCTION("""COMPUTED_VALUE"""),23.66)</f>
        <v>23.66</v>
      </c>
      <c r="C148" s="3">
        <v>30.9562552887827</v>
      </c>
    </row>
    <row r="149">
      <c r="A149" s="1">
        <f>IFERROR(__xludf.DUMMYFUNCTION("""COMPUTED_VALUE"""),43791.66666666667)</f>
        <v>43791.66667</v>
      </c>
      <c r="B149" s="2">
        <f>IFERROR(__xludf.DUMMYFUNCTION("""COMPUTED_VALUE"""),22.2)</f>
        <v>22.2</v>
      </c>
      <c r="C149" s="3">
        <v>31.0779649012182</v>
      </c>
    </row>
    <row r="150">
      <c r="A150" s="1">
        <f>IFERROR(__xludf.DUMMYFUNCTION("""COMPUTED_VALUE"""),43794.66666666667)</f>
        <v>43794.66667</v>
      </c>
      <c r="B150" s="2">
        <f>IFERROR(__xludf.DUMMYFUNCTION("""COMPUTED_VALUE"""),22.42)</f>
        <v>22.42</v>
      </c>
      <c r="C150" s="3">
        <v>34.8601573936195</v>
      </c>
    </row>
    <row r="151">
      <c r="A151" s="1">
        <f>IFERROR(__xludf.DUMMYFUNCTION("""COMPUTED_VALUE"""),43795.66666666667)</f>
        <v>43795.66667</v>
      </c>
      <c r="B151" s="2">
        <f>IFERROR(__xludf.DUMMYFUNCTION("""COMPUTED_VALUE"""),21.93)</f>
        <v>21.93</v>
      </c>
      <c r="C151" s="3">
        <v>34.5065140157886</v>
      </c>
    </row>
    <row r="152">
      <c r="A152" s="1">
        <f>IFERROR(__xludf.DUMMYFUNCTION("""COMPUTED_VALUE"""),43796.66666666667)</f>
        <v>43796.66667</v>
      </c>
      <c r="B152" s="2">
        <f>IFERROR(__xludf.DUMMYFUNCTION("""COMPUTED_VALUE"""),22.09)</f>
        <v>22.09</v>
      </c>
      <c r="C152" s="3">
        <v>35.3738159042377</v>
      </c>
    </row>
    <row r="153">
      <c r="A153" s="1">
        <f>IFERROR(__xludf.DUMMYFUNCTION("""COMPUTED_VALUE"""),43798.54166666667)</f>
        <v>43798.54167</v>
      </c>
      <c r="B153" s="2">
        <f>IFERROR(__xludf.DUMMYFUNCTION("""COMPUTED_VALUE"""),22.0)</f>
        <v>22</v>
      </c>
      <c r="C153" s="3">
        <v>34.8116619896671</v>
      </c>
    </row>
    <row r="154">
      <c r="A154" s="1">
        <f>IFERROR(__xludf.DUMMYFUNCTION("""COMPUTED_VALUE"""),43801.66666666667)</f>
        <v>43801.66667</v>
      </c>
      <c r="B154" s="2">
        <f>IFERROR(__xludf.DUMMYFUNCTION("""COMPUTED_VALUE"""),22.32)</f>
        <v>22.32</v>
      </c>
      <c r="C154" s="3">
        <v>37.1623512298681</v>
      </c>
    </row>
    <row r="155">
      <c r="A155" s="1">
        <f>IFERROR(__xludf.DUMMYFUNCTION("""COMPUTED_VALUE"""),43802.66666666667)</f>
        <v>43802.66667</v>
      </c>
      <c r="B155" s="2">
        <f>IFERROR(__xludf.DUMMYFUNCTION("""COMPUTED_VALUE"""),22.41)</f>
        <v>22.41</v>
      </c>
      <c r="C155" s="3">
        <v>36.17159230908</v>
      </c>
    </row>
    <row r="156">
      <c r="A156" s="1">
        <f>IFERROR(__xludf.DUMMYFUNCTION("""COMPUTED_VALUE"""),43803.66666666667)</f>
        <v>43803.66667</v>
      </c>
      <c r="B156" s="2">
        <f>IFERROR(__xludf.DUMMYFUNCTION("""COMPUTED_VALUE"""),22.2)</f>
        <v>22.2</v>
      </c>
      <c r="C156" s="3">
        <v>36.3445325622181</v>
      </c>
    </row>
    <row r="157">
      <c r="A157" s="1">
        <f>IFERROR(__xludf.DUMMYFUNCTION("""COMPUTED_VALUE"""),43804.66666666667)</f>
        <v>43804.66667</v>
      </c>
      <c r="B157" s="2">
        <f>IFERROR(__xludf.DUMMYFUNCTION("""COMPUTED_VALUE"""),22.02)</f>
        <v>22.02</v>
      </c>
      <c r="C157" s="3">
        <v>35.2113672125154</v>
      </c>
    </row>
    <row r="158">
      <c r="A158" s="1">
        <f>IFERROR(__xludf.DUMMYFUNCTION("""COMPUTED_VALUE"""),43805.66666666667)</f>
        <v>43805.66667</v>
      </c>
      <c r="B158" s="2">
        <f>IFERROR(__xludf.DUMMYFUNCTION("""COMPUTED_VALUE"""),22.39)</f>
        <v>22.39</v>
      </c>
      <c r="C158" s="3">
        <v>34.2914568206125</v>
      </c>
    </row>
    <row r="159">
      <c r="A159" s="1">
        <f>IFERROR(__xludf.DUMMYFUNCTION("""COMPUTED_VALUE"""),43808.66666666667)</f>
        <v>43808.66667</v>
      </c>
      <c r="B159" s="2">
        <f>IFERROR(__xludf.DUMMYFUNCTION("""COMPUTED_VALUE"""),22.64)</f>
        <v>22.64</v>
      </c>
      <c r="C159" s="3">
        <v>34.4422084482845</v>
      </c>
    </row>
    <row r="160">
      <c r="A160" s="1">
        <f>IFERROR(__xludf.DUMMYFUNCTION("""COMPUTED_VALUE"""),43809.66666666667)</f>
        <v>43809.66667</v>
      </c>
      <c r="B160" s="2">
        <f>IFERROR(__xludf.DUMMYFUNCTION("""COMPUTED_VALUE"""),23.26)</f>
        <v>23.26</v>
      </c>
      <c r="C160" s="3">
        <v>32.8077879218388</v>
      </c>
    </row>
    <row r="161">
      <c r="A161" s="1">
        <f>IFERROR(__xludf.DUMMYFUNCTION("""COMPUTED_VALUE"""),43810.66666666667)</f>
        <v>43810.66667</v>
      </c>
      <c r="B161" s="2">
        <f>IFERROR(__xludf.DUMMYFUNCTION("""COMPUTED_VALUE"""),23.51)</f>
        <v>23.51</v>
      </c>
      <c r="C161" s="3">
        <v>32.4133544698422</v>
      </c>
    </row>
    <row r="162">
      <c r="A162" s="1">
        <f>IFERROR(__xludf.DUMMYFUNCTION("""COMPUTED_VALUE"""),43811.66666666667)</f>
        <v>43811.66667</v>
      </c>
      <c r="B162" s="2">
        <f>IFERROR(__xludf.DUMMYFUNCTION("""COMPUTED_VALUE"""),23.98)</f>
        <v>23.98</v>
      </c>
      <c r="C162" s="3">
        <v>30.8056674858035</v>
      </c>
    </row>
    <row r="163">
      <c r="A163" s="1">
        <f>IFERROR(__xludf.DUMMYFUNCTION("""COMPUTED_VALUE"""),43812.66666666667)</f>
        <v>43812.66667</v>
      </c>
      <c r="B163" s="2">
        <f>IFERROR(__xludf.DUMMYFUNCTION("""COMPUTED_VALUE"""),23.89)</f>
        <v>23.89</v>
      </c>
      <c r="C163" s="3">
        <v>29.5183796232139</v>
      </c>
    </row>
    <row r="164">
      <c r="A164" s="1">
        <f>IFERROR(__xludf.DUMMYFUNCTION("""COMPUTED_VALUE"""),43815.66666666667)</f>
        <v>43815.66667</v>
      </c>
      <c r="B164" s="2">
        <f>IFERROR(__xludf.DUMMYFUNCTION("""COMPUTED_VALUE"""),25.43)</f>
        <v>25.43</v>
      </c>
      <c r="C164" s="3">
        <v>29.8822395136702</v>
      </c>
    </row>
    <row r="165">
      <c r="A165" s="1">
        <f>IFERROR(__xludf.DUMMYFUNCTION("""COMPUTED_VALUE"""),43816.66666666667)</f>
        <v>43816.66667</v>
      </c>
      <c r="B165" s="2">
        <f>IFERROR(__xludf.DUMMYFUNCTION("""COMPUTED_VALUE"""),25.27)</f>
        <v>25.27</v>
      </c>
      <c r="C165" s="3">
        <v>28.5832094750074</v>
      </c>
    </row>
    <row r="166">
      <c r="A166" s="1">
        <f>IFERROR(__xludf.DUMMYFUNCTION("""COMPUTED_VALUE"""),43817.66666666667)</f>
        <v>43817.66667</v>
      </c>
      <c r="B166" s="2">
        <f>IFERROR(__xludf.DUMMYFUNCTION("""COMPUTED_VALUE"""),26.21)</f>
        <v>26.21</v>
      </c>
      <c r="C166" s="3">
        <v>28.6557551880768</v>
      </c>
    </row>
    <row r="167">
      <c r="A167" s="1">
        <f>IFERROR(__xludf.DUMMYFUNCTION("""COMPUTED_VALUE"""),43818.66666666667)</f>
        <v>43818.66667</v>
      </c>
      <c r="B167" s="2">
        <f>IFERROR(__xludf.DUMMYFUNCTION("""COMPUTED_VALUE"""),26.94)</f>
        <v>26.94</v>
      </c>
      <c r="C167" s="3">
        <v>27.6407732363174</v>
      </c>
    </row>
    <row r="168">
      <c r="A168" s="1">
        <f>IFERROR(__xludf.DUMMYFUNCTION("""COMPUTED_VALUE"""),43819.66666666667)</f>
        <v>43819.66667</v>
      </c>
      <c r="B168" s="2">
        <f>IFERROR(__xludf.DUMMYFUNCTION("""COMPUTED_VALUE"""),27.04)</f>
        <v>27.04</v>
      </c>
      <c r="C168" s="3">
        <v>27.0624886953214</v>
      </c>
    </row>
    <row r="169">
      <c r="A169" s="1">
        <f>IFERROR(__xludf.DUMMYFUNCTION("""COMPUTED_VALUE"""),43822.66666666667)</f>
        <v>43822.66667</v>
      </c>
      <c r="B169" s="2">
        <f>IFERROR(__xludf.DUMMYFUNCTION("""COMPUTED_VALUE"""),27.95)</f>
        <v>27.95</v>
      </c>
      <c r="C169" s="3">
        <v>29.5361783155849</v>
      </c>
    </row>
    <row r="170">
      <c r="A170" s="1">
        <f>IFERROR(__xludf.DUMMYFUNCTION("""COMPUTED_VALUE"""),43823.54166666667)</f>
        <v>43823.54167</v>
      </c>
      <c r="B170" s="2">
        <f>IFERROR(__xludf.DUMMYFUNCTION("""COMPUTED_VALUE"""),28.35)</f>
        <v>28.35</v>
      </c>
      <c r="C170" s="3">
        <v>29.0645284499566</v>
      </c>
    </row>
    <row r="171">
      <c r="A171" s="1">
        <f>IFERROR(__xludf.DUMMYFUNCTION("""COMPUTED_VALUE"""),43825.66666666667)</f>
        <v>43825.66667</v>
      </c>
      <c r="B171" s="2">
        <f>IFERROR(__xludf.DUMMYFUNCTION("""COMPUTED_VALUE"""),28.73)</f>
        <v>28.73</v>
      </c>
      <c r="C171" s="3">
        <v>29.833208240709</v>
      </c>
    </row>
    <row r="172">
      <c r="A172" s="1">
        <f>IFERROR(__xludf.DUMMYFUNCTION("""COMPUTED_VALUE"""),43826.66666666667)</f>
        <v>43826.66667</v>
      </c>
      <c r="B172" s="2">
        <f>IFERROR(__xludf.DUMMYFUNCTION("""COMPUTED_VALUE"""),28.69)</f>
        <v>28.69</v>
      </c>
      <c r="C172" s="3">
        <v>30.0919730179717</v>
      </c>
    </row>
    <row r="173">
      <c r="A173" s="1">
        <f>IFERROR(__xludf.DUMMYFUNCTION("""COMPUTED_VALUE"""),43829.66666666667)</f>
        <v>43829.66667</v>
      </c>
      <c r="B173" s="2">
        <f>IFERROR(__xludf.DUMMYFUNCTION("""COMPUTED_VALUE"""),27.65)</f>
        <v>27.65</v>
      </c>
      <c r="C173" s="3">
        <v>34.7290322842005</v>
      </c>
    </row>
    <row r="174">
      <c r="A174" s="1">
        <f>IFERROR(__xludf.DUMMYFUNCTION("""COMPUTED_VALUE"""),43830.66666666667)</f>
        <v>43830.66667</v>
      </c>
      <c r="B174" s="2">
        <f>IFERROR(__xludf.DUMMYFUNCTION("""COMPUTED_VALUE"""),27.89)</f>
        <v>27.89</v>
      </c>
      <c r="C174" s="3">
        <v>34.7943103306153</v>
      </c>
    </row>
    <row r="175">
      <c r="A175" s="1">
        <f>IFERROR(__xludf.DUMMYFUNCTION("""COMPUTED_VALUE"""),43832.66666666667)</f>
        <v>43832.66667</v>
      </c>
      <c r="B175" s="2">
        <f>IFERROR(__xludf.DUMMYFUNCTION("""COMPUTED_VALUE"""),28.68)</f>
        <v>28.68</v>
      </c>
      <c r="C175" s="3">
        <v>36.2627788173043</v>
      </c>
    </row>
    <row r="176">
      <c r="A176" s="1">
        <f>IFERROR(__xludf.DUMMYFUNCTION("""COMPUTED_VALUE"""),43833.66666666667)</f>
        <v>43833.66667</v>
      </c>
      <c r="B176" s="2">
        <f>IFERROR(__xludf.DUMMYFUNCTION("""COMPUTED_VALUE"""),29.53)</f>
        <v>29.53</v>
      </c>
      <c r="C176" s="3">
        <v>36.6629243418492</v>
      </c>
    </row>
    <row r="177">
      <c r="A177" s="1">
        <f>IFERROR(__xludf.DUMMYFUNCTION("""COMPUTED_VALUE"""),43836.66666666667)</f>
        <v>43836.66667</v>
      </c>
      <c r="B177" s="2">
        <f>IFERROR(__xludf.DUMMYFUNCTION("""COMPUTED_VALUE"""),30.1)</f>
        <v>30.1</v>
      </c>
      <c r="C177" s="3">
        <v>40.8418016158511</v>
      </c>
    </row>
    <row r="178">
      <c r="A178" s="1">
        <f>IFERROR(__xludf.DUMMYFUNCTION("""COMPUTED_VALUE"""),43837.66666666667)</f>
        <v>43837.66667</v>
      </c>
      <c r="B178" s="2">
        <f>IFERROR(__xludf.DUMMYFUNCTION("""COMPUTED_VALUE"""),31.27)</f>
        <v>31.27</v>
      </c>
      <c r="C178" s="3">
        <v>40.4705545335587</v>
      </c>
    </row>
    <row r="179">
      <c r="A179" s="1">
        <f>IFERROR(__xludf.DUMMYFUNCTION("""COMPUTED_VALUE"""),43838.66666666667)</f>
        <v>43838.66667</v>
      </c>
      <c r="B179" s="2">
        <f>IFERROR(__xludf.DUMMYFUNCTION("""COMPUTED_VALUE"""),32.81)</f>
        <v>32.81</v>
      </c>
      <c r="C179" s="3">
        <v>41.2501902432295</v>
      </c>
    </row>
    <row r="180">
      <c r="A180" s="1">
        <f>IFERROR(__xludf.DUMMYFUNCTION("""COMPUTED_VALUE"""),43839.66666666667)</f>
        <v>43839.66667</v>
      </c>
      <c r="B180" s="2">
        <f>IFERROR(__xludf.DUMMYFUNCTION("""COMPUTED_VALUE"""),32.09)</f>
        <v>32.09</v>
      </c>
      <c r="C180" s="3">
        <v>40.7006445330194</v>
      </c>
    </row>
    <row r="181">
      <c r="A181" s="1">
        <f>IFERROR(__xludf.DUMMYFUNCTION("""COMPUTED_VALUE"""),43840.66666666667)</f>
        <v>43840.66667</v>
      </c>
      <c r="B181" s="2">
        <f>IFERROR(__xludf.DUMMYFUNCTION("""COMPUTED_VALUE"""),31.88)</f>
        <v>31.88</v>
      </c>
      <c r="C181" s="3">
        <v>40.331679699014</v>
      </c>
    </row>
    <row r="182">
      <c r="A182" s="1">
        <f>IFERROR(__xludf.DUMMYFUNCTION("""COMPUTED_VALUE"""),43843.66666666667)</f>
        <v>43843.66667</v>
      </c>
      <c r="B182" s="2">
        <f>IFERROR(__xludf.DUMMYFUNCTION("""COMPUTED_VALUE"""),34.99)</f>
        <v>34.99</v>
      </c>
      <c r="C182" s="3">
        <v>41.8579708529447</v>
      </c>
    </row>
    <row r="183">
      <c r="A183" s="1">
        <f>IFERROR(__xludf.DUMMYFUNCTION("""COMPUTED_VALUE"""),43844.66666666667)</f>
        <v>43844.66667</v>
      </c>
      <c r="B183" s="2">
        <f>IFERROR(__xludf.DUMMYFUNCTION("""COMPUTED_VALUE"""),35.86)</f>
        <v>35.86</v>
      </c>
      <c r="C183" s="3">
        <v>40.5688468813247</v>
      </c>
    </row>
    <row r="184">
      <c r="A184" s="1">
        <f>IFERROR(__xludf.DUMMYFUNCTION("""COMPUTED_VALUE"""),43845.66666666667)</f>
        <v>43845.66667</v>
      </c>
      <c r="B184" s="2">
        <f>IFERROR(__xludf.DUMMYFUNCTION("""COMPUTED_VALUE"""),34.57)</f>
        <v>34.57</v>
      </c>
      <c r="C184" s="3">
        <v>40.4564134554664</v>
      </c>
    </row>
    <row r="185">
      <c r="A185" s="1">
        <f>IFERROR(__xludf.DUMMYFUNCTION("""COMPUTED_VALUE"""),43846.66666666667)</f>
        <v>43846.66667</v>
      </c>
      <c r="B185" s="2">
        <f>IFERROR(__xludf.DUMMYFUNCTION("""COMPUTED_VALUE"""),34.23)</f>
        <v>34.23</v>
      </c>
      <c r="C185" s="3">
        <v>39.0658698041136</v>
      </c>
    </row>
    <row r="186">
      <c r="A186" s="1">
        <f>IFERROR(__xludf.DUMMYFUNCTION("""COMPUTED_VALUE"""),43847.66666666667)</f>
        <v>43847.66667</v>
      </c>
      <c r="B186" s="2">
        <f>IFERROR(__xludf.DUMMYFUNCTION("""COMPUTED_VALUE"""),34.03)</f>
        <v>34.03</v>
      </c>
      <c r="C186" s="3">
        <v>37.9310203666748</v>
      </c>
    </row>
    <row r="187">
      <c r="A187" s="1">
        <f>IFERROR(__xludf.DUMMYFUNCTION("""COMPUTED_VALUE"""),43851.66666666667)</f>
        <v>43851.66667</v>
      </c>
      <c r="B187" s="2">
        <f>IFERROR(__xludf.DUMMYFUNCTION("""COMPUTED_VALUE"""),36.48)</f>
        <v>36.48</v>
      </c>
      <c r="C187" s="3">
        <v>36.2567474918734</v>
      </c>
    </row>
    <row r="188">
      <c r="A188" s="1">
        <f>IFERROR(__xludf.DUMMYFUNCTION("""COMPUTED_VALUE"""),43852.66666666667)</f>
        <v>43852.66667</v>
      </c>
      <c r="B188" s="2">
        <f>IFERROR(__xludf.DUMMYFUNCTION("""COMPUTED_VALUE"""),37.97)</f>
        <v>37.97</v>
      </c>
      <c r="C188" s="3">
        <v>36.026761429365</v>
      </c>
    </row>
    <row r="189">
      <c r="A189" s="1">
        <f>IFERROR(__xludf.DUMMYFUNCTION("""COMPUTED_VALUE"""),43853.66666666667)</f>
        <v>43853.66667</v>
      </c>
      <c r="B189" s="2">
        <f>IFERROR(__xludf.DUMMYFUNCTION("""COMPUTED_VALUE"""),38.15)</f>
        <v>38.15</v>
      </c>
      <c r="C189" s="3">
        <v>34.6780344460691</v>
      </c>
    </row>
    <row r="190">
      <c r="A190" s="1">
        <f>IFERROR(__xludf.DUMMYFUNCTION("""COMPUTED_VALUE"""),43854.66666666667)</f>
        <v>43854.66667</v>
      </c>
      <c r="B190" s="2">
        <f>IFERROR(__xludf.DUMMYFUNCTION("""COMPUTED_VALUE"""),37.65)</f>
        <v>37.65</v>
      </c>
      <c r="C190" s="3">
        <v>33.7443538089393</v>
      </c>
    </row>
    <row r="191">
      <c r="A191" s="1">
        <f>IFERROR(__xludf.DUMMYFUNCTION("""COMPUTED_VALUE"""),43857.66666666667)</f>
        <v>43857.66667</v>
      </c>
      <c r="B191" s="2">
        <f>IFERROR(__xludf.DUMMYFUNCTION("""COMPUTED_VALUE"""),37.2)</f>
        <v>37.2</v>
      </c>
      <c r="C191" s="3">
        <v>35.1234568129076</v>
      </c>
    </row>
    <row r="192">
      <c r="A192" s="1">
        <f>IFERROR(__xludf.DUMMYFUNCTION("""COMPUTED_VALUE"""),43858.66666666667)</f>
        <v>43858.66667</v>
      </c>
      <c r="B192" s="2">
        <f>IFERROR(__xludf.DUMMYFUNCTION("""COMPUTED_VALUE"""),37.79)</f>
        <v>37.79</v>
      </c>
      <c r="C192" s="3">
        <v>34.3111916477784</v>
      </c>
    </row>
    <row r="193">
      <c r="A193" s="1">
        <f>IFERROR(__xludf.DUMMYFUNCTION("""COMPUTED_VALUE"""),43859.66666666667)</f>
        <v>43859.66667</v>
      </c>
      <c r="B193" s="2">
        <f>IFERROR(__xludf.DUMMYFUNCTION("""COMPUTED_VALUE"""),38.73)</f>
        <v>38.73</v>
      </c>
      <c r="C193" s="3">
        <v>34.9248650072047</v>
      </c>
    </row>
    <row r="194">
      <c r="A194" s="1">
        <f>IFERROR(__xludf.DUMMYFUNCTION("""COMPUTED_VALUE"""),43860.66666666667)</f>
        <v>43860.66667</v>
      </c>
      <c r="B194" s="2">
        <f>IFERROR(__xludf.DUMMYFUNCTION("""COMPUTED_VALUE"""),42.72)</f>
        <v>42.72</v>
      </c>
      <c r="C194" s="3">
        <v>34.4903479802267</v>
      </c>
    </row>
    <row r="195">
      <c r="A195" s="1">
        <f>IFERROR(__xludf.DUMMYFUNCTION("""COMPUTED_VALUE"""),43861.66666666667)</f>
        <v>43861.66667</v>
      </c>
      <c r="B195" s="2">
        <f>IFERROR(__xludf.DUMMYFUNCTION("""COMPUTED_VALUE"""),43.37)</f>
        <v>43.37</v>
      </c>
      <c r="C195" s="3">
        <v>34.5152406249901</v>
      </c>
    </row>
    <row r="196">
      <c r="A196" s="1">
        <f>IFERROR(__xludf.DUMMYFUNCTION("""COMPUTED_VALUE"""),43864.66666666667)</f>
        <v>43864.66667</v>
      </c>
      <c r="B196" s="2">
        <f>IFERROR(__xludf.DUMMYFUNCTION("""COMPUTED_VALUE"""),52.0)</f>
        <v>52</v>
      </c>
      <c r="C196" s="3">
        <v>38.7534683232578</v>
      </c>
    </row>
    <row r="197">
      <c r="A197" s="1">
        <f>IFERROR(__xludf.DUMMYFUNCTION("""COMPUTED_VALUE"""),43865.66666666667)</f>
        <v>43865.66667</v>
      </c>
      <c r="B197" s="2">
        <f>IFERROR(__xludf.DUMMYFUNCTION("""COMPUTED_VALUE"""),59.14)</f>
        <v>59.14</v>
      </c>
      <c r="C197" s="3">
        <v>38.792816708047</v>
      </c>
    </row>
    <row r="198">
      <c r="A198" s="1">
        <f>IFERROR(__xludf.DUMMYFUNCTION("""COMPUTED_VALUE"""),43866.66666666667)</f>
        <v>43866.66667</v>
      </c>
      <c r="B198" s="2">
        <f>IFERROR(__xludf.DUMMYFUNCTION("""COMPUTED_VALUE"""),48.98)</f>
        <v>48.98</v>
      </c>
      <c r="C198" s="3">
        <v>40.1613578505452</v>
      </c>
    </row>
    <row r="199">
      <c r="A199" s="1">
        <f>IFERROR(__xludf.DUMMYFUNCTION("""COMPUTED_VALUE"""),43867.66666666667)</f>
        <v>43867.66667</v>
      </c>
      <c r="B199" s="2">
        <f>IFERROR(__xludf.DUMMYFUNCTION("""COMPUTED_VALUE"""),49.93)</f>
        <v>49.93</v>
      </c>
      <c r="C199" s="3">
        <v>40.3601008893572</v>
      </c>
    </row>
    <row r="200">
      <c r="A200" s="1">
        <f>IFERROR(__xludf.DUMMYFUNCTION("""COMPUTED_VALUE"""),43868.66666666667)</f>
        <v>43868.66667</v>
      </c>
      <c r="B200" s="2">
        <f>IFERROR(__xludf.DUMMYFUNCTION("""COMPUTED_VALUE"""),49.87)</f>
        <v>49.87</v>
      </c>
      <c r="C200" s="3">
        <v>40.874620672138</v>
      </c>
    </row>
    <row r="201">
      <c r="A201" s="1">
        <f>IFERROR(__xludf.DUMMYFUNCTION("""COMPUTED_VALUE"""),43871.66666666667)</f>
        <v>43871.66667</v>
      </c>
      <c r="B201" s="2">
        <f>IFERROR(__xludf.DUMMYFUNCTION("""COMPUTED_VALUE"""),51.42)</f>
        <v>51.42</v>
      </c>
      <c r="C201" s="3">
        <v>45.5547793937413</v>
      </c>
    </row>
    <row r="202">
      <c r="A202" s="1">
        <f>IFERROR(__xludf.DUMMYFUNCTION("""COMPUTED_VALUE"""),43872.66666666667)</f>
        <v>43872.66667</v>
      </c>
      <c r="B202" s="2">
        <f>IFERROR(__xludf.DUMMYFUNCTION("""COMPUTED_VALUE"""),51.63)</f>
        <v>51.63</v>
      </c>
      <c r="C202" s="3">
        <v>45.3657263123667</v>
      </c>
    </row>
    <row r="203">
      <c r="A203" s="1">
        <f>IFERROR(__xludf.DUMMYFUNCTION("""COMPUTED_VALUE"""),43873.66666666667)</f>
        <v>43873.66667</v>
      </c>
      <c r="B203" s="2">
        <f>IFERROR(__xludf.DUMMYFUNCTION("""COMPUTED_VALUE"""),51.15)</f>
        <v>51.15</v>
      </c>
      <c r="C203" s="3">
        <v>46.3132608014686</v>
      </c>
    </row>
    <row r="204">
      <c r="A204" s="1">
        <f>IFERROR(__xludf.DUMMYFUNCTION("""COMPUTED_VALUE"""),43874.66666666667)</f>
        <v>43874.66667</v>
      </c>
      <c r="B204" s="2">
        <f>IFERROR(__xludf.DUMMYFUNCTION("""COMPUTED_VALUE"""),53.6)</f>
        <v>53.6</v>
      </c>
      <c r="C204" s="3">
        <v>46.0124682221766</v>
      </c>
    </row>
    <row r="205">
      <c r="A205" s="1">
        <f>IFERROR(__xludf.DUMMYFUNCTION("""COMPUTED_VALUE"""),43875.66666666667)</f>
        <v>43875.66667</v>
      </c>
      <c r="B205" s="2">
        <f>IFERROR(__xludf.DUMMYFUNCTION("""COMPUTED_VALUE"""),53.34)</f>
        <v>53.34</v>
      </c>
      <c r="C205" s="3">
        <v>45.8491020254006</v>
      </c>
    </row>
    <row r="206">
      <c r="A206" s="1">
        <f>IFERROR(__xludf.DUMMYFUNCTION("""COMPUTED_VALUE"""),43879.66666666667)</f>
        <v>43879.66667</v>
      </c>
      <c r="B206" s="2">
        <f>IFERROR(__xludf.DUMMYFUNCTION("""COMPUTED_VALUE"""),57.23)</f>
        <v>57.23</v>
      </c>
      <c r="C206" s="3">
        <v>46.1968240471514</v>
      </c>
    </row>
    <row r="207">
      <c r="A207" s="1">
        <f>IFERROR(__xludf.DUMMYFUNCTION("""COMPUTED_VALUE"""),43880.66666666667)</f>
        <v>43880.66667</v>
      </c>
      <c r="B207" s="2">
        <f>IFERROR(__xludf.DUMMYFUNCTION("""COMPUTED_VALUE"""),61.16)</f>
        <v>61.16</v>
      </c>
      <c r="C207" s="3">
        <v>45.8722271825799</v>
      </c>
    </row>
    <row r="208">
      <c r="A208" s="1">
        <f>IFERROR(__xludf.DUMMYFUNCTION("""COMPUTED_VALUE"""),43881.66666666667)</f>
        <v>43881.66667</v>
      </c>
      <c r="B208" s="2">
        <f>IFERROR(__xludf.DUMMYFUNCTION("""COMPUTED_VALUE"""),59.96)</f>
        <v>59.96</v>
      </c>
      <c r="C208" s="3">
        <v>44.1542294779866</v>
      </c>
    </row>
    <row r="209">
      <c r="A209" s="1">
        <f>IFERROR(__xludf.DUMMYFUNCTION("""COMPUTED_VALUE"""),43882.66666666667)</f>
        <v>43882.66667</v>
      </c>
      <c r="B209" s="2">
        <f>IFERROR(__xludf.DUMMYFUNCTION("""COMPUTED_VALUE"""),60.07)</f>
        <v>60.07</v>
      </c>
      <c r="C209" s="3">
        <v>42.5705671834636</v>
      </c>
    </row>
    <row r="210">
      <c r="A210" s="1">
        <f>IFERROR(__xludf.DUMMYFUNCTION("""COMPUTED_VALUE"""),43885.66666666667)</f>
        <v>43885.66667</v>
      </c>
      <c r="B210" s="2">
        <f>IFERROR(__xludf.DUMMYFUNCTION("""COMPUTED_VALUE"""),55.59)</f>
        <v>55.59</v>
      </c>
      <c r="C210" s="3">
        <v>40.361408281524</v>
      </c>
    </row>
    <row r="211">
      <c r="A211" s="1">
        <f>IFERROR(__xludf.DUMMYFUNCTION("""COMPUTED_VALUE"""),43886.66666666667)</f>
        <v>43886.66667</v>
      </c>
      <c r="B211" s="2">
        <f>IFERROR(__xludf.DUMMYFUNCTION("""COMPUTED_VALUE"""),53.33)</f>
        <v>53.33</v>
      </c>
      <c r="C211" s="3">
        <v>37.8578223483762</v>
      </c>
    </row>
    <row r="212">
      <c r="A212" s="1">
        <f>IFERROR(__xludf.DUMMYFUNCTION("""COMPUTED_VALUE"""),43887.66666666667)</f>
        <v>43887.66667</v>
      </c>
      <c r="B212" s="2">
        <f>IFERROR(__xludf.DUMMYFUNCTION("""COMPUTED_VALUE"""),51.92)</f>
        <v>51.92</v>
      </c>
      <c r="C212" s="3">
        <v>36.5749606425914</v>
      </c>
    </row>
    <row r="213">
      <c r="A213" s="1">
        <f>IFERROR(__xludf.DUMMYFUNCTION("""COMPUTED_VALUE"""),43888.66666666667)</f>
        <v>43888.66667</v>
      </c>
      <c r="B213" s="2">
        <f>IFERROR(__xludf.DUMMYFUNCTION("""COMPUTED_VALUE"""),45.27)</f>
        <v>45.27</v>
      </c>
      <c r="C213" s="3">
        <v>34.0733366305923</v>
      </c>
    </row>
    <row r="214">
      <c r="A214" s="1">
        <f>IFERROR(__xludf.DUMMYFUNCTION("""COMPUTED_VALUE"""),43889.66666666667)</f>
        <v>43889.66667</v>
      </c>
      <c r="B214" s="2">
        <f>IFERROR(__xludf.DUMMYFUNCTION("""COMPUTED_VALUE"""),44.53)</f>
        <v>44.53</v>
      </c>
      <c r="C214" s="3">
        <v>31.9003706571127</v>
      </c>
    </row>
    <row r="215">
      <c r="A215" s="1">
        <f>IFERROR(__xludf.DUMMYFUNCTION("""COMPUTED_VALUE"""),43892.66666666667)</f>
        <v>43892.66667</v>
      </c>
      <c r="B215" s="2">
        <f>IFERROR(__xludf.DUMMYFUNCTION("""COMPUTED_VALUE"""),49.57)</f>
        <v>49.57</v>
      </c>
      <c r="C215" s="3">
        <v>29.2172643663694</v>
      </c>
    </row>
    <row r="216">
      <c r="A216" s="1">
        <f>IFERROR(__xludf.DUMMYFUNCTION("""COMPUTED_VALUE"""),43893.66666666667)</f>
        <v>43893.66667</v>
      </c>
      <c r="B216" s="2">
        <f>IFERROR(__xludf.DUMMYFUNCTION("""COMPUTED_VALUE"""),49.7)</f>
        <v>49.7</v>
      </c>
      <c r="C216" s="3">
        <v>27.0046897613236</v>
      </c>
    </row>
    <row r="217">
      <c r="A217" s="1">
        <f>IFERROR(__xludf.DUMMYFUNCTION("""COMPUTED_VALUE"""),43894.66666666667)</f>
        <v>43894.66667</v>
      </c>
      <c r="B217" s="2">
        <f>IFERROR(__xludf.DUMMYFUNCTION("""COMPUTED_VALUE"""),49.97)</f>
        <v>49.97</v>
      </c>
      <c r="C217" s="3">
        <v>26.2332355228718</v>
      </c>
    </row>
    <row r="218">
      <c r="A218" s="1">
        <f>IFERROR(__xludf.DUMMYFUNCTION("""COMPUTED_VALUE"""),43895.66666666667)</f>
        <v>43895.66667</v>
      </c>
      <c r="B218" s="2">
        <f>IFERROR(__xludf.DUMMYFUNCTION("""COMPUTED_VALUE"""),48.3)</f>
        <v>48.3</v>
      </c>
      <c r="C218" s="3">
        <v>24.4532997683171</v>
      </c>
    </row>
    <row r="219">
      <c r="A219" s="1">
        <f>IFERROR(__xludf.DUMMYFUNCTION("""COMPUTED_VALUE"""),43896.66666666667)</f>
        <v>43896.66667</v>
      </c>
      <c r="B219" s="2">
        <f>IFERROR(__xludf.DUMMYFUNCTION("""COMPUTED_VALUE"""),46.9)</f>
        <v>46.9</v>
      </c>
      <c r="C219" s="3">
        <v>23.1973976256127</v>
      </c>
    </row>
    <row r="220">
      <c r="A220" s="1">
        <f>IFERROR(__xludf.DUMMYFUNCTION("""COMPUTED_VALUE"""),43899.66666666667)</f>
        <v>43899.66667</v>
      </c>
      <c r="B220" s="2">
        <f>IFERROR(__xludf.DUMMYFUNCTION("""COMPUTED_VALUE"""),40.53)</f>
        <v>40.53</v>
      </c>
      <c r="C220" s="3">
        <v>24.225701691302</v>
      </c>
    </row>
    <row r="221">
      <c r="A221" s="1">
        <f>IFERROR(__xludf.DUMMYFUNCTION("""COMPUTED_VALUE"""),43900.66666666667)</f>
        <v>43900.66667</v>
      </c>
      <c r="B221" s="2">
        <f>IFERROR(__xludf.DUMMYFUNCTION("""COMPUTED_VALUE"""),43.02)</f>
        <v>43.02</v>
      </c>
      <c r="C221" s="3">
        <v>23.4825629612608</v>
      </c>
    </row>
    <row r="222">
      <c r="A222" s="1">
        <f>IFERROR(__xludf.DUMMYFUNCTION("""COMPUTED_VALUE"""),43901.66666666667)</f>
        <v>43901.66667</v>
      </c>
      <c r="B222" s="2">
        <f>IFERROR(__xludf.DUMMYFUNCTION("""COMPUTED_VALUE"""),42.28)</f>
        <v>42.28</v>
      </c>
      <c r="C222" s="3">
        <v>24.2465878436825</v>
      </c>
    </row>
    <row r="223">
      <c r="A223" s="1">
        <f>IFERROR(__xludf.DUMMYFUNCTION("""COMPUTED_VALUE"""),43902.66666666667)</f>
        <v>43902.66667</v>
      </c>
      <c r="B223" s="2">
        <f>IFERROR(__xludf.DUMMYFUNCTION("""COMPUTED_VALUE"""),37.37)</f>
        <v>37.37</v>
      </c>
      <c r="C223" s="3">
        <v>24.0359390107161</v>
      </c>
    </row>
    <row r="224">
      <c r="A224" s="1">
        <f>IFERROR(__xludf.DUMMYFUNCTION("""COMPUTED_VALUE"""),43903.66666666667)</f>
        <v>43903.66667</v>
      </c>
      <c r="B224" s="2">
        <f>IFERROR(__xludf.DUMMYFUNCTION("""COMPUTED_VALUE"""),36.44)</f>
        <v>36.44</v>
      </c>
      <c r="C224" s="3">
        <v>24.350549476553</v>
      </c>
    </row>
    <row r="225">
      <c r="A225" s="1">
        <f>IFERROR(__xludf.DUMMYFUNCTION("""COMPUTED_VALUE"""),43906.66666666667)</f>
        <v>43906.66667</v>
      </c>
      <c r="B225" s="2">
        <f>IFERROR(__xludf.DUMMYFUNCTION("""COMPUTED_VALUE"""),29.67)</f>
        <v>29.67</v>
      </c>
      <c r="C225" s="3">
        <v>29.7832463245391</v>
      </c>
    </row>
    <row r="226">
      <c r="A226" s="1">
        <f>IFERROR(__xludf.DUMMYFUNCTION("""COMPUTED_VALUE"""),43907.66666666667)</f>
        <v>43907.66667</v>
      </c>
      <c r="B226" s="2">
        <f>IFERROR(__xludf.DUMMYFUNCTION("""COMPUTED_VALUE"""),28.68)</f>
        <v>28.68</v>
      </c>
      <c r="C226" s="3">
        <v>30.3100059337974</v>
      </c>
    </row>
    <row r="227">
      <c r="A227" s="1">
        <f>IFERROR(__xludf.DUMMYFUNCTION("""COMPUTED_VALUE"""),43908.66666666667)</f>
        <v>43908.66667</v>
      </c>
      <c r="B227" s="2">
        <f>IFERROR(__xludf.DUMMYFUNCTION("""COMPUTED_VALUE"""),24.08)</f>
        <v>24.08</v>
      </c>
      <c r="C227" s="3">
        <v>32.203718704302</v>
      </c>
    </row>
    <row r="228">
      <c r="A228" s="1">
        <f>IFERROR(__xludf.DUMMYFUNCTION("""COMPUTED_VALUE"""),43909.66666666667)</f>
        <v>43909.66667</v>
      </c>
      <c r="B228" s="2">
        <f>IFERROR(__xludf.DUMMYFUNCTION("""COMPUTED_VALUE"""),28.51)</f>
        <v>28.51</v>
      </c>
      <c r="C228" s="3">
        <v>32.9631745491324</v>
      </c>
    </row>
    <row r="229">
      <c r="A229" s="1">
        <f>IFERROR(__xludf.DUMMYFUNCTION("""COMPUTED_VALUE"""),43910.66666666667)</f>
        <v>43910.66667</v>
      </c>
      <c r="B229" s="2">
        <f>IFERROR(__xludf.DUMMYFUNCTION("""COMPUTED_VALUE"""),28.5)</f>
        <v>28.5</v>
      </c>
      <c r="C229" s="3">
        <v>34.0730662629893</v>
      </c>
    </row>
    <row r="230">
      <c r="A230" s="1">
        <f>IFERROR(__xludf.DUMMYFUNCTION("""COMPUTED_VALUE"""),43913.66666666667)</f>
        <v>43913.66667</v>
      </c>
      <c r="B230" s="2">
        <f>IFERROR(__xludf.DUMMYFUNCTION("""COMPUTED_VALUE"""),28.95)</f>
        <v>28.95</v>
      </c>
      <c r="C230" s="3">
        <v>40.757482921421</v>
      </c>
    </row>
    <row r="231">
      <c r="A231" s="1">
        <f>IFERROR(__xludf.DUMMYFUNCTION("""COMPUTED_VALUE"""),43914.66666666667)</f>
        <v>43914.66667</v>
      </c>
      <c r="B231" s="2">
        <f>IFERROR(__xludf.DUMMYFUNCTION("""COMPUTED_VALUE"""),33.67)</f>
        <v>33.67</v>
      </c>
      <c r="C231" s="3">
        <v>41.3180740556304</v>
      </c>
    </row>
    <row r="232">
      <c r="A232" s="1">
        <f>IFERROR(__xludf.DUMMYFUNCTION("""COMPUTED_VALUE"""),43915.66666666667)</f>
        <v>43915.66667</v>
      </c>
      <c r="B232" s="2">
        <f>IFERROR(__xludf.DUMMYFUNCTION("""COMPUTED_VALUE"""),35.95)</f>
        <v>35.95</v>
      </c>
      <c r="C232" s="3">
        <v>43.0624915603091</v>
      </c>
    </row>
    <row r="233">
      <c r="A233" s="1">
        <f>IFERROR(__xludf.DUMMYFUNCTION("""COMPUTED_VALUE"""),43916.66666666667)</f>
        <v>43916.66667</v>
      </c>
      <c r="B233" s="2">
        <f>IFERROR(__xludf.DUMMYFUNCTION("""COMPUTED_VALUE"""),35.21)</f>
        <v>35.21</v>
      </c>
      <c r="C233" s="3">
        <v>43.5009523390087</v>
      </c>
    </row>
    <row r="234">
      <c r="A234" s="1">
        <f>IFERROR(__xludf.DUMMYFUNCTION("""COMPUTED_VALUE"""),43917.66666666667)</f>
        <v>43917.66667</v>
      </c>
      <c r="B234" s="2">
        <f>IFERROR(__xludf.DUMMYFUNCTION("""COMPUTED_VALUE"""),34.29)</f>
        <v>34.29</v>
      </c>
      <c r="C234" s="3">
        <v>44.1332479134999</v>
      </c>
    </row>
    <row r="235">
      <c r="A235" s="1">
        <f>IFERROR(__xludf.DUMMYFUNCTION("""COMPUTED_VALUE"""),43920.66666666667)</f>
        <v>43920.66667</v>
      </c>
      <c r="B235" s="2">
        <f>IFERROR(__xludf.DUMMYFUNCTION("""COMPUTED_VALUE"""),33.48)</f>
        <v>33.48</v>
      </c>
      <c r="C235" s="3">
        <v>48.6405387797555</v>
      </c>
    </row>
    <row r="236">
      <c r="A236" s="1">
        <f>IFERROR(__xludf.DUMMYFUNCTION("""COMPUTED_VALUE"""),43921.66666666667)</f>
        <v>43921.66667</v>
      </c>
      <c r="B236" s="2">
        <f>IFERROR(__xludf.DUMMYFUNCTION("""COMPUTED_VALUE"""),34.93)</f>
        <v>34.93</v>
      </c>
      <c r="C236" s="3">
        <v>48.3029650616047</v>
      </c>
    </row>
    <row r="237">
      <c r="A237" s="1">
        <f>IFERROR(__xludf.DUMMYFUNCTION("""COMPUTED_VALUE"""),43922.66666666667)</f>
        <v>43922.66667</v>
      </c>
      <c r="B237" s="2">
        <f>IFERROR(__xludf.DUMMYFUNCTION("""COMPUTED_VALUE"""),32.1)</f>
        <v>32.1</v>
      </c>
      <c r="C237" s="3">
        <v>49.1038107664613</v>
      </c>
    </row>
    <row r="238">
      <c r="A238" s="1">
        <f>IFERROR(__xludf.DUMMYFUNCTION("""COMPUTED_VALUE"""),43923.66666666667)</f>
        <v>43923.66667</v>
      </c>
      <c r="B238" s="2">
        <f>IFERROR(__xludf.DUMMYFUNCTION("""COMPUTED_VALUE"""),30.3)</f>
        <v>30.3</v>
      </c>
      <c r="C238" s="3">
        <v>48.5781582216435</v>
      </c>
    </row>
    <row r="239">
      <c r="A239" s="1">
        <f>IFERROR(__xludf.DUMMYFUNCTION("""COMPUTED_VALUE"""),43924.66666666667)</f>
        <v>43924.66667</v>
      </c>
      <c r="B239" s="2">
        <f>IFERROR(__xludf.DUMMYFUNCTION("""COMPUTED_VALUE"""),32.0)</f>
        <v>32</v>
      </c>
      <c r="C239" s="3">
        <v>48.2499766815681</v>
      </c>
    </row>
    <row r="240">
      <c r="A240" s="1">
        <f>IFERROR(__xludf.DUMMYFUNCTION("""COMPUTED_VALUE"""),43927.66666666667)</f>
        <v>43927.66667</v>
      </c>
      <c r="B240" s="2">
        <f>IFERROR(__xludf.DUMMYFUNCTION("""COMPUTED_VALUE"""),34.42)</f>
        <v>34.42</v>
      </c>
      <c r="C240" s="3">
        <v>50.1163028696821</v>
      </c>
    </row>
    <row r="241">
      <c r="A241" s="1">
        <f>IFERROR(__xludf.DUMMYFUNCTION("""COMPUTED_VALUE"""),43928.66666666667)</f>
        <v>43928.66667</v>
      </c>
      <c r="B241" s="2">
        <f>IFERROR(__xludf.DUMMYFUNCTION("""COMPUTED_VALUE"""),36.36)</f>
        <v>36.36</v>
      </c>
      <c r="C241" s="3">
        <v>49.0400318695264</v>
      </c>
    </row>
    <row r="242">
      <c r="A242" s="1">
        <f>IFERROR(__xludf.DUMMYFUNCTION("""COMPUTED_VALUE"""),43929.66666666667)</f>
        <v>43929.66667</v>
      </c>
      <c r="B242" s="2">
        <f>IFERROR(__xludf.DUMMYFUNCTION("""COMPUTED_VALUE"""),36.59)</f>
        <v>36.59</v>
      </c>
      <c r="C242" s="3">
        <v>49.196530268338</v>
      </c>
    </row>
    <row r="243">
      <c r="A243" s="1">
        <f>IFERROR(__xludf.DUMMYFUNCTION("""COMPUTED_VALUE"""),43930.66666666667)</f>
        <v>43930.66667</v>
      </c>
      <c r="B243" s="2">
        <f>IFERROR(__xludf.DUMMYFUNCTION("""COMPUTED_VALUE"""),38.2)</f>
        <v>38.2</v>
      </c>
      <c r="C243" s="3">
        <v>48.130046968327</v>
      </c>
    </row>
    <row r="244">
      <c r="A244" s="1">
        <f>IFERROR(__xludf.DUMMYFUNCTION("""COMPUTED_VALUE"""),43934.66666666667)</f>
        <v>43934.66667</v>
      </c>
      <c r="B244" s="2">
        <f>IFERROR(__xludf.DUMMYFUNCTION("""COMPUTED_VALUE"""),43.4)</f>
        <v>43.4</v>
      </c>
      <c r="C244" s="3">
        <v>48.5994514013097</v>
      </c>
    </row>
    <row r="245">
      <c r="A245" s="1">
        <f>IFERROR(__xludf.DUMMYFUNCTION("""COMPUTED_VALUE"""),43935.66666666667)</f>
        <v>43935.66667</v>
      </c>
      <c r="B245" s="2">
        <f>IFERROR(__xludf.DUMMYFUNCTION("""COMPUTED_VALUE"""),47.33)</f>
        <v>47.33</v>
      </c>
      <c r="C245" s="3">
        <v>47.6359618134587</v>
      </c>
    </row>
    <row r="246">
      <c r="A246" s="1">
        <f>IFERROR(__xludf.DUMMYFUNCTION("""COMPUTED_VALUE"""),43936.66666666667)</f>
        <v>43936.66667</v>
      </c>
      <c r="B246" s="2">
        <f>IFERROR(__xludf.DUMMYFUNCTION("""COMPUTED_VALUE"""),48.66)</f>
        <v>48.66</v>
      </c>
      <c r="C246" s="3">
        <v>47.9918152486143</v>
      </c>
    </row>
    <row r="247">
      <c r="A247" s="1">
        <f>IFERROR(__xludf.DUMMYFUNCTION("""COMPUTED_VALUE"""),43937.66666666667)</f>
        <v>43937.66667</v>
      </c>
      <c r="B247" s="2">
        <f>IFERROR(__xludf.DUMMYFUNCTION("""COMPUTED_VALUE"""),49.68)</f>
        <v>49.68</v>
      </c>
      <c r="C247" s="3">
        <v>47.1984183008432</v>
      </c>
    </row>
    <row r="248">
      <c r="A248" s="1">
        <f>IFERROR(__xludf.DUMMYFUNCTION("""COMPUTED_VALUE"""),43938.66666666667)</f>
        <v>43938.66667</v>
      </c>
      <c r="B248" s="2">
        <f>IFERROR(__xludf.DUMMYFUNCTION("""COMPUTED_VALUE"""),50.26)</f>
        <v>50.26</v>
      </c>
      <c r="C248" s="3">
        <v>46.7707104351922</v>
      </c>
    </row>
    <row r="249">
      <c r="A249" s="1">
        <f>IFERROR(__xludf.DUMMYFUNCTION("""COMPUTED_VALUE"""),43941.66666666667)</f>
        <v>43941.66667</v>
      </c>
      <c r="B249" s="2">
        <f>IFERROR(__xludf.DUMMYFUNCTION("""COMPUTED_VALUE"""),49.76)</f>
        <v>49.76</v>
      </c>
      <c r="C249" s="3">
        <v>49.188378779645</v>
      </c>
    </row>
    <row r="250">
      <c r="A250" s="1">
        <f>IFERROR(__xludf.DUMMYFUNCTION("""COMPUTED_VALUE"""),43942.66666666667)</f>
        <v>43942.66667</v>
      </c>
      <c r="B250" s="2">
        <f>IFERROR(__xludf.DUMMYFUNCTION("""COMPUTED_VALUE"""),45.78)</f>
        <v>45.78</v>
      </c>
      <c r="C250" s="3">
        <v>48.5078866435079</v>
      </c>
    </row>
    <row r="251">
      <c r="A251" s="1">
        <f>IFERROR(__xludf.DUMMYFUNCTION("""COMPUTED_VALUE"""),43943.66666666667)</f>
        <v>43943.66667</v>
      </c>
      <c r="B251" s="2">
        <f>IFERROR(__xludf.DUMMYFUNCTION("""COMPUTED_VALUE"""),48.81)</f>
        <v>48.81</v>
      </c>
      <c r="C251" s="3">
        <v>49.1242618234366</v>
      </c>
    </row>
    <row r="252">
      <c r="A252" s="1">
        <f>IFERROR(__xludf.DUMMYFUNCTION("""COMPUTED_VALUE"""),43944.66666666667)</f>
        <v>43944.66667</v>
      </c>
      <c r="B252" s="2">
        <f>IFERROR(__xludf.DUMMYFUNCTION("""COMPUTED_VALUE"""),47.04)</f>
        <v>47.04</v>
      </c>
      <c r="C252" s="3">
        <v>48.5547294541784</v>
      </c>
    </row>
    <row r="253">
      <c r="A253" s="1">
        <f>IFERROR(__xludf.DUMMYFUNCTION("""COMPUTED_VALUE"""),43945.66666666667)</f>
        <v>43945.66667</v>
      </c>
      <c r="B253" s="2">
        <f>IFERROR(__xludf.DUMMYFUNCTION("""COMPUTED_VALUE"""),48.34)</f>
        <v>48.34</v>
      </c>
      <c r="C253" s="3">
        <v>48.3018879732371</v>
      </c>
    </row>
    <row r="254">
      <c r="A254" s="1">
        <f>IFERROR(__xludf.DUMMYFUNCTION("""COMPUTED_VALUE"""),43948.66666666667)</f>
        <v>43948.66667</v>
      </c>
      <c r="B254" s="2">
        <f>IFERROR(__xludf.DUMMYFUNCTION("""COMPUTED_VALUE"""),53.25)</f>
        <v>53.25</v>
      </c>
      <c r="C254" s="3">
        <v>50.8617461515174</v>
      </c>
    </row>
    <row r="255">
      <c r="A255" s="1">
        <f>IFERROR(__xludf.DUMMYFUNCTION("""COMPUTED_VALUE"""),43949.66666666667)</f>
        <v>43949.66667</v>
      </c>
      <c r="B255" s="2">
        <f>IFERROR(__xludf.DUMMYFUNCTION("""COMPUTED_VALUE"""),51.27)</f>
        <v>51.27</v>
      </c>
      <c r="C255" s="3">
        <v>50.0850950756481</v>
      </c>
    </row>
    <row r="256">
      <c r="A256" s="1">
        <f>IFERROR(__xludf.DUMMYFUNCTION("""COMPUTED_VALUE"""),43950.66666666667)</f>
        <v>43950.66667</v>
      </c>
      <c r="B256" s="2">
        <f>IFERROR(__xludf.DUMMYFUNCTION("""COMPUTED_VALUE"""),53.37)</f>
        <v>53.37</v>
      </c>
      <c r="C256" s="3">
        <v>50.5326417906957</v>
      </c>
    </row>
    <row r="257">
      <c r="A257" s="1">
        <f>IFERROR(__xludf.DUMMYFUNCTION("""COMPUTED_VALUE"""),43951.66666666667)</f>
        <v>43951.66667</v>
      </c>
      <c r="B257" s="2">
        <f>IFERROR(__xludf.DUMMYFUNCTION("""COMPUTED_VALUE"""),52.13)</f>
        <v>52.13</v>
      </c>
      <c r="C257" s="3">
        <v>49.7253886557676</v>
      </c>
    </row>
    <row r="258">
      <c r="A258" s="1">
        <f>IFERROR(__xludf.DUMMYFUNCTION("""COMPUTED_VALUE"""),43952.66666666667)</f>
        <v>43952.66667</v>
      </c>
      <c r="B258" s="2">
        <f>IFERROR(__xludf.DUMMYFUNCTION("""COMPUTED_VALUE"""),46.75)</f>
        <v>46.75</v>
      </c>
      <c r="C258" s="3">
        <v>49.1724334814074</v>
      </c>
    </row>
    <row r="259">
      <c r="A259" s="1">
        <f>IFERROR(__xludf.DUMMYFUNCTION("""COMPUTED_VALUE"""),43955.66666666667)</f>
        <v>43955.66667</v>
      </c>
      <c r="B259" s="2">
        <f>IFERROR(__xludf.DUMMYFUNCTION("""COMPUTED_VALUE"""),50.75)</f>
        <v>50.75</v>
      </c>
      <c r="C259" s="3">
        <v>50.5582434510766</v>
      </c>
    </row>
    <row r="260">
      <c r="A260" s="1">
        <f>IFERROR(__xludf.DUMMYFUNCTION("""COMPUTED_VALUE"""),43956.66666666667)</f>
        <v>43956.66667</v>
      </c>
      <c r="B260" s="2">
        <f>IFERROR(__xludf.DUMMYFUNCTION("""COMPUTED_VALUE"""),51.21)</f>
        <v>51.21</v>
      </c>
      <c r="C260" s="3">
        <v>49.3420666829901</v>
      </c>
    </row>
    <row r="261">
      <c r="A261" s="1">
        <f>IFERROR(__xludf.DUMMYFUNCTION("""COMPUTED_VALUE"""),43957.66666666667)</f>
        <v>43957.66667</v>
      </c>
      <c r="B261" s="2">
        <f>IFERROR(__xludf.DUMMYFUNCTION("""COMPUTED_VALUE"""),52.17)</f>
        <v>52.17</v>
      </c>
      <c r="C261" s="3">
        <v>49.3508365105299</v>
      </c>
    </row>
    <row r="262">
      <c r="A262" s="1">
        <f>IFERROR(__xludf.DUMMYFUNCTION("""COMPUTED_VALUE"""),43958.66666666667)</f>
        <v>43958.66667</v>
      </c>
      <c r="B262" s="2">
        <f>IFERROR(__xludf.DUMMYFUNCTION("""COMPUTED_VALUE"""),52.0)</f>
        <v>52</v>
      </c>
      <c r="C262" s="3">
        <v>48.1214643906653</v>
      </c>
    </row>
    <row r="263">
      <c r="A263" s="1">
        <f>IFERROR(__xludf.DUMMYFUNCTION("""COMPUTED_VALUE"""),43959.66666666667)</f>
        <v>43959.66667</v>
      </c>
      <c r="B263" s="2">
        <f>IFERROR(__xludf.DUMMYFUNCTION("""COMPUTED_VALUE"""),54.63)</f>
        <v>54.63</v>
      </c>
      <c r="C263" s="3">
        <v>47.1789383791927</v>
      </c>
    </row>
    <row r="264">
      <c r="A264" s="1">
        <f>IFERROR(__xludf.DUMMYFUNCTION("""COMPUTED_VALUE"""),43962.66666666667)</f>
        <v>43962.66667</v>
      </c>
      <c r="B264" s="2">
        <f>IFERROR(__xludf.DUMMYFUNCTION("""COMPUTED_VALUE"""),54.09)</f>
        <v>54.09</v>
      </c>
      <c r="C264" s="3">
        <v>47.7396853546502</v>
      </c>
    </row>
    <row r="265">
      <c r="A265" s="1">
        <f>IFERROR(__xludf.DUMMYFUNCTION("""COMPUTED_VALUE"""),43963.66666666667)</f>
        <v>43963.66667</v>
      </c>
      <c r="B265" s="2">
        <f>IFERROR(__xludf.DUMMYFUNCTION("""COMPUTED_VALUE"""),53.96)</f>
        <v>53.96</v>
      </c>
      <c r="C265" s="3">
        <v>46.4057946164627</v>
      </c>
    </row>
    <row r="266">
      <c r="A266" s="1">
        <f>IFERROR(__xludf.DUMMYFUNCTION("""COMPUTED_VALUE"""),43964.66666666667)</f>
        <v>43964.66667</v>
      </c>
      <c r="B266" s="2">
        <f>IFERROR(__xludf.DUMMYFUNCTION("""COMPUTED_VALUE"""),52.73)</f>
        <v>52.73</v>
      </c>
      <c r="C266" s="3">
        <v>46.3921412093223</v>
      </c>
    </row>
    <row r="267">
      <c r="A267" s="1">
        <f>IFERROR(__xludf.DUMMYFUNCTION("""COMPUTED_VALUE"""),43965.66666666667)</f>
        <v>43965.66667</v>
      </c>
      <c r="B267" s="2">
        <f>IFERROR(__xludf.DUMMYFUNCTION("""COMPUTED_VALUE"""),53.56)</f>
        <v>53.56</v>
      </c>
      <c r="C267" s="3">
        <v>45.2420983562032</v>
      </c>
    </row>
    <row r="268">
      <c r="A268" s="1">
        <f>IFERROR(__xludf.DUMMYFUNCTION("""COMPUTED_VALUE"""),43966.66666666667)</f>
        <v>43966.66667</v>
      </c>
      <c r="B268" s="2">
        <f>IFERROR(__xludf.DUMMYFUNCTION("""COMPUTED_VALUE"""),53.28)</f>
        <v>53.28</v>
      </c>
      <c r="C268" s="3">
        <v>44.4844473412008</v>
      </c>
    </row>
    <row r="269">
      <c r="A269" s="1">
        <f>IFERROR(__xludf.DUMMYFUNCTION("""COMPUTED_VALUE"""),43969.66666666667)</f>
        <v>43969.66667</v>
      </c>
      <c r="B269" s="2">
        <f>IFERROR(__xludf.DUMMYFUNCTION("""COMPUTED_VALUE"""),54.24)</f>
        <v>54.24</v>
      </c>
      <c r="C269" s="3">
        <v>46.2289270065983</v>
      </c>
    </row>
    <row r="270">
      <c r="A270" s="1">
        <f>IFERROR(__xludf.DUMMYFUNCTION("""COMPUTED_VALUE"""),43970.66666666667)</f>
        <v>43970.66667</v>
      </c>
      <c r="B270" s="2">
        <f>IFERROR(__xludf.DUMMYFUNCTION("""COMPUTED_VALUE"""),53.87)</f>
        <v>53.87</v>
      </c>
      <c r="C270" s="3">
        <v>45.4839747716651</v>
      </c>
    </row>
    <row r="271">
      <c r="A271" s="1">
        <f>IFERROR(__xludf.DUMMYFUNCTION("""COMPUTED_VALUE"""),43971.66666666667)</f>
        <v>43971.66667</v>
      </c>
      <c r="B271" s="2">
        <f>IFERROR(__xludf.DUMMYFUNCTION("""COMPUTED_VALUE"""),54.37)</f>
        <v>54.37</v>
      </c>
      <c r="C271" s="3">
        <v>46.1422116880735</v>
      </c>
    </row>
    <row r="272">
      <c r="A272" s="1">
        <f>IFERROR(__xludf.DUMMYFUNCTION("""COMPUTED_VALUE"""),43972.66666666667)</f>
        <v>43972.66667</v>
      </c>
      <c r="B272" s="2">
        <f>IFERROR(__xludf.DUMMYFUNCTION("""COMPUTED_VALUE"""),55.17)</f>
        <v>55.17</v>
      </c>
      <c r="C272" s="3">
        <v>45.7350024658296</v>
      </c>
    </row>
    <row r="273">
      <c r="A273" s="1">
        <f>IFERROR(__xludf.DUMMYFUNCTION("""COMPUTED_VALUE"""),43973.66666666667)</f>
        <v>43973.66667</v>
      </c>
      <c r="B273" s="2">
        <f>IFERROR(__xludf.DUMMYFUNCTION("""COMPUTED_VALUE"""),54.46)</f>
        <v>54.46</v>
      </c>
      <c r="C273" s="3">
        <v>45.7772396529263</v>
      </c>
    </row>
    <row r="274">
      <c r="A274" s="1">
        <f>IFERROR(__xludf.DUMMYFUNCTION("""COMPUTED_VALUE"""),43977.66666666667)</f>
        <v>43977.66667</v>
      </c>
      <c r="B274" s="2">
        <f>IFERROR(__xludf.DUMMYFUNCTION("""COMPUTED_VALUE"""),54.59)</f>
        <v>54.59</v>
      </c>
      <c r="C274" s="3">
        <v>50.2257945246811</v>
      </c>
    </row>
    <row r="275">
      <c r="A275" s="1">
        <f>IFERROR(__xludf.DUMMYFUNCTION("""COMPUTED_VALUE"""),43978.66666666667)</f>
        <v>43978.66667</v>
      </c>
      <c r="B275" s="2">
        <f>IFERROR(__xludf.DUMMYFUNCTION("""COMPUTED_VALUE"""),54.68)</f>
        <v>54.68</v>
      </c>
      <c r="C275" s="3">
        <v>51.7238149007613</v>
      </c>
    </row>
    <row r="276">
      <c r="A276" s="1">
        <f>IFERROR(__xludf.DUMMYFUNCTION("""COMPUTED_VALUE"""),43979.66666666667)</f>
        <v>43979.66667</v>
      </c>
      <c r="B276" s="2">
        <f>IFERROR(__xludf.DUMMYFUNCTION("""COMPUTED_VALUE"""),53.72)</f>
        <v>53.72</v>
      </c>
      <c r="C276" s="3">
        <v>52.1142228681407</v>
      </c>
    </row>
    <row r="277">
      <c r="A277" s="1">
        <f>IFERROR(__xludf.DUMMYFUNCTION("""COMPUTED_VALUE"""),43980.66666666667)</f>
        <v>43980.66667</v>
      </c>
      <c r="B277" s="2">
        <f>IFERROR(__xludf.DUMMYFUNCTION("""COMPUTED_VALUE"""),55.67)</f>
        <v>55.67</v>
      </c>
      <c r="C277" s="3">
        <v>52.8969612703462</v>
      </c>
    </row>
    <row r="278">
      <c r="A278" s="1">
        <f>IFERROR(__xludf.DUMMYFUNCTION("""COMPUTED_VALUE"""),43983.66666666667)</f>
        <v>43983.66667</v>
      </c>
      <c r="B278" s="2">
        <f>IFERROR(__xludf.DUMMYFUNCTION("""COMPUTED_VALUE"""),59.87)</f>
        <v>59.87</v>
      </c>
      <c r="C278" s="3">
        <v>58.9798380431654</v>
      </c>
    </row>
    <row r="279">
      <c r="A279" s="1">
        <f>IFERROR(__xludf.DUMMYFUNCTION("""COMPUTED_VALUE"""),43984.66666666667)</f>
        <v>43984.66667</v>
      </c>
      <c r="B279" s="2">
        <f>IFERROR(__xludf.DUMMYFUNCTION("""COMPUTED_VALUE"""),58.77)</f>
        <v>58.77</v>
      </c>
      <c r="C279" s="3">
        <v>59.4998293452218</v>
      </c>
    </row>
    <row r="280">
      <c r="A280" s="1">
        <f>IFERROR(__xludf.DUMMYFUNCTION("""COMPUTED_VALUE"""),43985.66666666667)</f>
        <v>43985.66667</v>
      </c>
      <c r="B280" s="2">
        <f>IFERROR(__xludf.DUMMYFUNCTION("""COMPUTED_VALUE"""),58.86)</f>
        <v>58.86</v>
      </c>
      <c r="C280" s="3">
        <v>61.2949322572946</v>
      </c>
    </row>
    <row r="281">
      <c r="A281" s="1">
        <f>IFERROR(__xludf.DUMMYFUNCTION("""COMPUTED_VALUE"""),43986.66666666667)</f>
        <v>43986.66667</v>
      </c>
      <c r="B281" s="2">
        <f>IFERROR(__xludf.DUMMYFUNCTION("""COMPUTED_VALUE"""),57.63)</f>
        <v>57.63</v>
      </c>
      <c r="C281" s="3">
        <v>61.8788377862537</v>
      </c>
    </row>
    <row r="282">
      <c r="A282" s="1">
        <f>IFERROR(__xludf.DUMMYFUNCTION("""COMPUTED_VALUE"""),43987.66666666667)</f>
        <v>43987.66667</v>
      </c>
      <c r="B282" s="2">
        <f>IFERROR(__xludf.DUMMYFUNCTION("""COMPUTED_VALUE"""),59.04)</f>
        <v>59.04</v>
      </c>
      <c r="C282" s="3">
        <v>62.7526193283395</v>
      </c>
    </row>
    <row r="283">
      <c r="A283" s="1">
        <f>IFERROR(__xludf.DUMMYFUNCTION("""COMPUTED_VALUE"""),43990.66666666667)</f>
        <v>43990.66667</v>
      </c>
      <c r="B283" s="2">
        <f>IFERROR(__xludf.DUMMYFUNCTION("""COMPUTED_VALUE"""),63.33)</f>
        <v>63.33</v>
      </c>
      <c r="C283" s="3">
        <v>68.542907061014</v>
      </c>
    </row>
    <row r="284">
      <c r="A284" s="1">
        <f>IFERROR(__xludf.DUMMYFUNCTION("""COMPUTED_VALUE"""),43991.66666666667)</f>
        <v>43991.66667</v>
      </c>
      <c r="B284" s="2">
        <f>IFERROR(__xludf.DUMMYFUNCTION("""COMPUTED_VALUE"""),62.71)</f>
        <v>62.71</v>
      </c>
      <c r="C284" s="3">
        <v>68.8043492233038</v>
      </c>
    </row>
    <row r="285">
      <c r="A285" s="1">
        <f>IFERROR(__xludf.DUMMYFUNCTION("""COMPUTED_VALUE"""),43992.66666666667)</f>
        <v>43992.66667</v>
      </c>
      <c r="B285" s="2">
        <f>IFERROR(__xludf.DUMMYFUNCTION("""COMPUTED_VALUE"""),68.34)</f>
        <v>68.34</v>
      </c>
      <c r="C285" s="3">
        <v>70.3260179592329</v>
      </c>
    </row>
    <row r="286">
      <c r="A286" s="1">
        <f>IFERROR(__xludf.DUMMYFUNCTION("""COMPUTED_VALUE"""),43993.66666666667)</f>
        <v>43993.66667</v>
      </c>
      <c r="B286" s="2">
        <f>IFERROR(__xludf.DUMMYFUNCTION("""COMPUTED_VALUE"""),64.86)</f>
        <v>64.86</v>
      </c>
      <c r="C286" s="3">
        <v>70.5875507930464</v>
      </c>
    </row>
    <row r="287">
      <c r="A287" s="1">
        <f>IFERROR(__xludf.DUMMYFUNCTION("""COMPUTED_VALUE"""),43994.66666666667)</f>
        <v>43994.66667</v>
      </c>
      <c r="B287" s="2">
        <f>IFERROR(__xludf.DUMMYFUNCTION("""COMPUTED_VALUE"""),62.35)</f>
        <v>62.35</v>
      </c>
      <c r="C287" s="3">
        <v>71.1040112725411</v>
      </c>
    </row>
    <row r="288">
      <c r="A288" s="1">
        <f>IFERROR(__xludf.DUMMYFUNCTION("""COMPUTED_VALUE"""),43997.66666666667)</f>
        <v>43997.66667</v>
      </c>
      <c r="B288" s="2">
        <f>IFERROR(__xludf.DUMMYFUNCTION("""COMPUTED_VALUE"""),66.06)</f>
        <v>66.06</v>
      </c>
      <c r="C288" s="3">
        <v>75.7566007808366</v>
      </c>
    </row>
    <row r="289">
      <c r="A289" s="1">
        <f>IFERROR(__xludf.DUMMYFUNCTION("""COMPUTED_VALUE"""),43998.66666666667)</f>
        <v>43998.66667</v>
      </c>
      <c r="B289" s="2">
        <f>IFERROR(__xludf.DUMMYFUNCTION("""COMPUTED_VALUE"""),65.48)</f>
        <v>65.48</v>
      </c>
      <c r="C289" s="3">
        <v>75.6633585004128</v>
      </c>
    </row>
    <row r="290">
      <c r="A290" s="1">
        <f>IFERROR(__xludf.DUMMYFUNCTION("""COMPUTED_VALUE"""),43999.66666666667)</f>
        <v>43999.66667</v>
      </c>
      <c r="B290" s="2">
        <f>IFERROR(__xludf.DUMMYFUNCTION("""COMPUTED_VALUE"""),66.12)</f>
        <v>66.12</v>
      </c>
      <c r="C290" s="3">
        <v>76.8165327232349</v>
      </c>
    </row>
    <row r="291">
      <c r="A291" s="1">
        <f>IFERROR(__xludf.DUMMYFUNCTION("""COMPUTED_VALUE"""),44000.66666666667)</f>
        <v>44000.66667</v>
      </c>
      <c r="B291" s="2">
        <f>IFERROR(__xludf.DUMMYFUNCTION("""COMPUTED_VALUE"""),66.93)</f>
        <v>66.93</v>
      </c>
      <c r="C291" s="3">
        <v>76.7536232804128</v>
      </c>
    </row>
    <row r="292">
      <c r="A292" s="1">
        <f>IFERROR(__xludf.DUMMYFUNCTION("""COMPUTED_VALUE"""),44001.66666666667)</f>
        <v>44001.66667</v>
      </c>
      <c r="B292" s="2">
        <f>IFERROR(__xludf.DUMMYFUNCTION("""COMPUTED_VALUE"""),66.73)</f>
        <v>66.73</v>
      </c>
      <c r="C292" s="3">
        <v>76.9986274886117</v>
      </c>
    </row>
    <row r="293">
      <c r="A293" s="1">
        <f>IFERROR(__xludf.DUMMYFUNCTION("""COMPUTED_VALUE"""),44004.66666666667)</f>
        <v>44004.66667</v>
      </c>
      <c r="B293" s="2">
        <f>IFERROR(__xludf.DUMMYFUNCTION("""COMPUTED_VALUE"""),66.29)</f>
        <v>66.29</v>
      </c>
      <c r="C293" s="3">
        <v>81.2140061626904</v>
      </c>
    </row>
    <row r="294">
      <c r="A294" s="1">
        <f>IFERROR(__xludf.DUMMYFUNCTION("""COMPUTED_VALUE"""),44005.66666666667)</f>
        <v>44005.66667</v>
      </c>
      <c r="B294" s="2">
        <f>IFERROR(__xludf.DUMMYFUNCTION("""COMPUTED_VALUE"""),66.79)</f>
        <v>66.79</v>
      </c>
      <c r="C294" s="3">
        <v>81.1096913673716</v>
      </c>
    </row>
    <row r="295">
      <c r="A295" s="1">
        <f>IFERROR(__xludf.DUMMYFUNCTION("""COMPUTED_VALUE"""),44006.66666666667)</f>
        <v>44006.66667</v>
      </c>
      <c r="B295" s="2">
        <f>IFERROR(__xludf.DUMMYFUNCTION("""COMPUTED_VALUE"""),64.06)</f>
        <v>64.06</v>
      </c>
      <c r="C295" s="3">
        <v>82.3181185333805</v>
      </c>
    </row>
    <row r="296">
      <c r="A296" s="1">
        <f>IFERROR(__xludf.DUMMYFUNCTION("""COMPUTED_VALUE"""),44007.66666666667)</f>
        <v>44007.66667</v>
      </c>
      <c r="B296" s="2">
        <f>IFERROR(__xludf.DUMMYFUNCTION("""COMPUTED_VALUE"""),65.73)</f>
        <v>65.73</v>
      </c>
      <c r="C296" s="3">
        <v>82.3730311061907</v>
      </c>
    </row>
    <row r="297">
      <c r="A297" s="1">
        <f>IFERROR(__xludf.DUMMYFUNCTION("""COMPUTED_VALUE"""),44008.66666666667)</f>
        <v>44008.66667</v>
      </c>
      <c r="B297" s="2">
        <f>IFERROR(__xludf.DUMMYFUNCTION("""COMPUTED_VALUE"""),63.98)</f>
        <v>63.98</v>
      </c>
      <c r="C297" s="3">
        <v>82.7927729390309</v>
      </c>
    </row>
    <row r="298">
      <c r="A298" s="1">
        <f>IFERROR(__xludf.DUMMYFUNCTION("""COMPUTED_VALUE"""),44011.66666666667)</f>
        <v>44011.66667</v>
      </c>
      <c r="B298" s="2">
        <f>IFERROR(__xludf.DUMMYFUNCTION("""COMPUTED_VALUE"""),67.29)</f>
        <v>67.29</v>
      </c>
      <c r="C298" s="3">
        <v>87.7937690794398</v>
      </c>
    </row>
    <row r="299">
      <c r="A299" s="1">
        <f>IFERROR(__xludf.DUMMYFUNCTION("""COMPUTED_VALUE"""),44012.66666666667)</f>
        <v>44012.66667</v>
      </c>
      <c r="B299" s="2">
        <f>IFERROR(__xludf.DUMMYFUNCTION("""COMPUTED_VALUE"""),71.99)</f>
        <v>71.99</v>
      </c>
      <c r="C299" s="3">
        <v>88.0059222030564</v>
      </c>
    </row>
    <row r="300">
      <c r="A300" s="1">
        <f>IFERROR(__xludf.DUMMYFUNCTION("""COMPUTED_VALUE"""),44013.66666666667)</f>
        <v>44013.66667</v>
      </c>
      <c r="B300" s="2">
        <f>IFERROR(__xludf.DUMMYFUNCTION("""COMPUTED_VALUE"""),74.64)</f>
        <v>74.64</v>
      </c>
      <c r="C300" s="3">
        <v>89.5400582993211</v>
      </c>
    </row>
    <row r="301">
      <c r="A301" s="1">
        <f>IFERROR(__xludf.DUMMYFUNCTION("""COMPUTED_VALUE"""),44014.66666666667)</f>
        <v>44014.66667</v>
      </c>
      <c r="B301" s="2">
        <f>IFERROR(__xludf.DUMMYFUNCTION("""COMPUTED_VALUE"""),80.58)</f>
        <v>80.58</v>
      </c>
      <c r="C301" s="3">
        <v>89.9187363820273</v>
      </c>
    </row>
    <row r="302">
      <c r="A302" s="1">
        <f>IFERROR(__xludf.DUMMYFUNCTION("""COMPUTED_VALUE"""),44018.66666666667)</f>
        <v>44018.66667</v>
      </c>
      <c r="B302" s="2">
        <f>IFERROR(__xludf.DUMMYFUNCTION("""COMPUTED_VALUE"""),91.44)</f>
        <v>91.44</v>
      </c>
      <c r="C302" s="3">
        <v>96.406847259964</v>
      </c>
    </row>
    <row r="303">
      <c r="A303" s="1">
        <f>IFERROR(__xludf.DUMMYFUNCTION("""COMPUTED_VALUE"""),44019.66666666667)</f>
        <v>44019.66667</v>
      </c>
      <c r="B303" s="2">
        <f>IFERROR(__xludf.DUMMYFUNCTION("""COMPUTED_VALUE"""),92.66)</f>
        <v>92.66</v>
      </c>
      <c r="C303" s="3">
        <v>96.7849059425537</v>
      </c>
    </row>
    <row r="304">
      <c r="A304" s="1">
        <f>IFERROR(__xludf.DUMMYFUNCTION("""COMPUTED_VALUE"""),44020.66666666667)</f>
        <v>44020.66667</v>
      </c>
      <c r="B304" s="2">
        <f>IFERROR(__xludf.DUMMYFUNCTION("""COMPUTED_VALUE"""),91.06)</f>
        <v>91.06</v>
      </c>
      <c r="C304" s="3">
        <v>98.4315616754347</v>
      </c>
    </row>
    <row r="305">
      <c r="A305" s="1">
        <f>IFERROR(__xludf.DUMMYFUNCTION("""COMPUTED_VALUE"""),44021.66666666667)</f>
        <v>44021.66667</v>
      </c>
      <c r="B305" s="2">
        <f>IFERROR(__xludf.DUMMYFUNCTION("""COMPUTED_VALUE"""),92.95)</f>
        <v>92.95</v>
      </c>
      <c r="C305" s="3">
        <v>98.865662980379</v>
      </c>
    </row>
    <row r="306">
      <c r="A306" s="1">
        <f>IFERROR(__xludf.DUMMYFUNCTION("""COMPUTED_VALUE"""),44022.66666666667)</f>
        <v>44022.66667</v>
      </c>
      <c r="B306" s="2">
        <f>IFERROR(__xludf.DUMMYFUNCTION("""COMPUTED_VALUE"""),102.98)</f>
        <v>102.98</v>
      </c>
      <c r="C306" s="3">
        <v>99.5926643316639</v>
      </c>
    </row>
    <row r="307">
      <c r="A307" s="1">
        <f>IFERROR(__xludf.DUMMYFUNCTION("""COMPUTED_VALUE"""),44025.66666666667)</f>
        <v>44025.66667</v>
      </c>
      <c r="B307" s="2">
        <f>IFERROR(__xludf.DUMMYFUNCTION("""COMPUTED_VALUE"""),99.8)</f>
        <v>99.8</v>
      </c>
      <c r="C307" s="3">
        <v>104.991713705791</v>
      </c>
    </row>
    <row r="308">
      <c r="A308" s="1">
        <f>IFERROR(__xludf.DUMMYFUNCTION("""COMPUTED_VALUE"""),44026.66666666667)</f>
        <v>44026.66667</v>
      </c>
      <c r="B308" s="2">
        <f>IFERROR(__xludf.DUMMYFUNCTION("""COMPUTED_VALUE"""),101.12)</f>
        <v>101.12</v>
      </c>
      <c r="C308" s="3">
        <v>105.144943475204</v>
      </c>
    </row>
    <row r="309">
      <c r="A309" s="1">
        <f>IFERROR(__xludf.DUMMYFUNCTION("""COMPUTED_VALUE"""),44027.66666666667)</f>
        <v>44027.66667</v>
      </c>
      <c r="B309" s="2">
        <f>IFERROR(__xludf.DUMMYFUNCTION("""COMPUTED_VALUE"""),103.07)</f>
        <v>103.07</v>
      </c>
      <c r="C309" s="3">
        <v>106.522978903421</v>
      </c>
    </row>
    <row r="310">
      <c r="A310" s="1">
        <f>IFERROR(__xludf.DUMMYFUNCTION("""COMPUTED_VALUE"""),44028.66666666667)</f>
        <v>44028.66667</v>
      </c>
      <c r="B310" s="2">
        <f>IFERROR(__xludf.DUMMYFUNCTION("""COMPUTED_VALUE"""),100.04)</f>
        <v>100.04</v>
      </c>
      <c r="C310" s="3">
        <v>106.651768751266</v>
      </c>
    </row>
    <row r="311">
      <c r="A311" s="1">
        <f>IFERROR(__xludf.DUMMYFUNCTION("""COMPUTED_VALUE"""),44029.66666666667)</f>
        <v>44029.66667</v>
      </c>
      <c r="B311" s="2">
        <f>IFERROR(__xludf.DUMMYFUNCTION("""COMPUTED_VALUE"""),100.06)</f>
        <v>100.06</v>
      </c>
      <c r="C311" s="3">
        <v>107.044711530168</v>
      </c>
    </row>
    <row r="312">
      <c r="A312" s="1">
        <f>IFERROR(__xludf.DUMMYFUNCTION("""COMPUTED_VALUE"""),44032.66666666667)</f>
        <v>44032.66667</v>
      </c>
      <c r="B312" s="2">
        <f>IFERROR(__xludf.DUMMYFUNCTION("""COMPUTED_VALUE"""),109.53)</f>
        <v>109.53</v>
      </c>
      <c r="C312" s="3">
        <v>111.3554624404</v>
      </c>
    </row>
    <row r="313">
      <c r="A313" s="1">
        <f>IFERROR(__xludf.DUMMYFUNCTION("""COMPUTED_VALUE"""),44033.66666666667)</f>
        <v>44033.66667</v>
      </c>
      <c r="B313" s="2">
        <f>IFERROR(__xludf.DUMMYFUNCTION("""COMPUTED_VALUE"""),104.56)</f>
        <v>104.56</v>
      </c>
      <c r="C313" s="3">
        <v>111.146346731156</v>
      </c>
    </row>
    <row r="314">
      <c r="A314" s="1">
        <f>IFERROR(__xludf.DUMMYFUNCTION("""COMPUTED_VALUE"""),44034.66666666667)</f>
        <v>44034.66667</v>
      </c>
      <c r="B314" s="2">
        <f>IFERROR(__xludf.DUMMYFUNCTION("""COMPUTED_VALUE"""),106.16)</f>
        <v>106.16</v>
      </c>
      <c r="C314" s="3">
        <v>112.176028458116</v>
      </c>
    </row>
    <row r="315">
      <c r="A315" s="1">
        <f>IFERROR(__xludf.DUMMYFUNCTION("""COMPUTED_VALUE"""),44035.66666666667)</f>
        <v>44035.66667</v>
      </c>
      <c r="B315" s="2">
        <f>IFERROR(__xludf.DUMMYFUNCTION("""COMPUTED_VALUE"""),100.87)</f>
        <v>100.87</v>
      </c>
      <c r="C315" s="3">
        <v>111.977732366201</v>
      </c>
    </row>
    <row r="316">
      <c r="A316" s="1">
        <f>IFERROR(__xludf.DUMMYFUNCTION("""COMPUTED_VALUE"""),44036.66666666667)</f>
        <v>44036.66667</v>
      </c>
      <c r="B316" s="2">
        <f>IFERROR(__xludf.DUMMYFUNCTION("""COMPUTED_VALUE"""),94.47)</f>
        <v>94.47</v>
      </c>
      <c r="C316" s="3">
        <v>112.071173587452</v>
      </c>
    </row>
    <row r="317">
      <c r="A317" s="1">
        <f>IFERROR(__xludf.DUMMYFUNCTION("""COMPUTED_VALUE"""),44039.66666666667)</f>
        <v>44039.66667</v>
      </c>
      <c r="B317" s="2">
        <f>IFERROR(__xludf.DUMMYFUNCTION("""COMPUTED_VALUE"""),102.64)</f>
        <v>102.64</v>
      </c>
      <c r="C317" s="3">
        <v>115.694548841398</v>
      </c>
    </row>
    <row r="318">
      <c r="A318" s="1">
        <f>IFERROR(__xludf.DUMMYFUNCTION("""COMPUTED_VALUE"""),44040.66666666667)</f>
        <v>44040.66667</v>
      </c>
      <c r="B318" s="2">
        <f>IFERROR(__xludf.DUMMYFUNCTION("""COMPUTED_VALUE"""),98.43)</f>
        <v>98.43</v>
      </c>
      <c r="C318" s="3">
        <v>115.335404716821</v>
      </c>
    </row>
    <row r="319">
      <c r="A319" s="1">
        <f>IFERROR(__xludf.DUMMYFUNCTION("""COMPUTED_VALUE"""),44041.66666666667)</f>
        <v>44041.66667</v>
      </c>
      <c r="B319" s="2">
        <f>IFERROR(__xludf.DUMMYFUNCTION("""COMPUTED_VALUE"""),99.94)</f>
        <v>99.94</v>
      </c>
      <c r="C319" s="3">
        <v>116.255621406038</v>
      </c>
    </row>
    <row r="320">
      <c r="A320" s="1">
        <f>IFERROR(__xludf.DUMMYFUNCTION("""COMPUTED_VALUE"""),44042.66666666667)</f>
        <v>44042.66667</v>
      </c>
      <c r="B320" s="2">
        <f>IFERROR(__xludf.DUMMYFUNCTION("""COMPUTED_VALUE"""),99.17)</f>
        <v>99.17</v>
      </c>
      <c r="C320" s="3">
        <v>115.987095302698</v>
      </c>
    </row>
    <row r="321">
      <c r="A321" s="1">
        <f>IFERROR(__xludf.DUMMYFUNCTION("""COMPUTED_VALUE"""),44043.66666666667)</f>
        <v>44043.66667</v>
      </c>
      <c r="B321" s="2">
        <f>IFERROR(__xludf.DUMMYFUNCTION("""COMPUTED_VALUE"""),95.38)</f>
        <v>95.38</v>
      </c>
      <c r="C321" s="3">
        <v>116.047050723172</v>
      </c>
    </row>
    <row r="322">
      <c r="A322" s="1">
        <f>IFERROR(__xludf.DUMMYFUNCTION("""COMPUTED_VALUE"""),44046.66666666667)</f>
        <v>44046.66667</v>
      </c>
      <c r="B322" s="2">
        <f>IFERROR(__xludf.DUMMYFUNCTION("""COMPUTED_VALUE"""),99.0)</f>
        <v>99</v>
      </c>
      <c r="C322" s="3">
        <v>119.751346067869</v>
      </c>
    </row>
    <row r="323">
      <c r="A323" s="1">
        <f>IFERROR(__xludf.DUMMYFUNCTION("""COMPUTED_VALUE"""),44047.66666666667)</f>
        <v>44047.66667</v>
      </c>
      <c r="B323" s="2">
        <f>IFERROR(__xludf.DUMMYFUNCTION("""COMPUTED_VALUE"""),99.13)</f>
        <v>99.13</v>
      </c>
      <c r="C323" s="3">
        <v>119.463229115487</v>
      </c>
    </row>
    <row r="324">
      <c r="A324" s="1">
        <f>IFERROR(__xludf.DUMMYFUNCTION("""COMPUTED_VALUE"""),44048.66666666667)</f>
        <v>44048.66667</v>
      </c>
      <c r="B324" s="2">
        <f>IFERROR(__xludf.DUMMYFUNCTION("""COMPUTED_VALUE"""),99.0)</f>
        <v>99</v>
      </c>
      <c r="C324" s="3">
        <v>120.46737246071</v>
      </c>
    </row>
    <row r="325">
      <c r="A325" s="1">
        <f>IFERROR(__xludf.DUMMYFUNCTION("""COMPUTED_VALUE"""),44049.66666666667)</f>
        <v>44049.66667</v>
      </c>
      <c r="B325" s="2">
        <f>IFERROR(__xludf.DUMMYFUNCTION("""COMPUTED_VALUE"""),99.31)</f>
        <v>99.31</v>
      </c>
      <c r="C325" s="3">
        <v>120.290127767776</v>
      </c>
    </row>
    <row r="326">
      <c r="A326" s="1">
        <f>IFERROR(__xludf.DUMMYFUNCTION("""COMPUTED_VALUE"""),44050.66666666667)</f>
        <v>44050.66667</v>
      </c>
      <c r="B326" s="2">
        <f>IFERROR(__xludf.DUMMYFUNCTION("""COMPUTED_VALUE"""),96.85)</f>
        <v>96.85</v>
      </c>
      <c r="C326" s="3">
        <v>120.443432961383</v>
      </c>
    </row>
    <row r="327">
      <c r="A327" s="1">
        <f>IFERROR(__xludf.DUMMYFUNCTION("""COMPUTED_VALUE"""),44053.66666666667)</f>
        <v>44053.66667</v>
      </c>
      <c r="B327" s="2">
        <f>IFERROR(__xludf.DUMMYFUNCTION("""COMPUTED_VALUE"""),94.57)</f>
        <v>94.57</v>
      </c>
      <c r="C327" s="3">
        <v>124.395617602264</v>
      </c>
    </row>
    <row r="328">
      <c r="A328" s="1">
        <f>IFERROR(__xludf.DUMMYFUNCTION("""COMPUTED_VALUE"""),44054.66666666667)</f>
        <v>44054.66667</v>
      </c>
      <c r="B328" s="2">
        <f>IFERROR(__xludf.DUMMYFUNCTION("""COMPUTED_VALUE"""),91.63)</f>
        <v>91.63</v>
      </c>
      <c r="C328" s="3">
        <v>124.168462494455</v>
      </c>
    </row>
    <row r="329">
      <c r="A329" s="1">
        <f>IFERROR(__xludf.DUMMYFUNCTION("""COMPUTED_VALUE"""),44055.66666666667)</f>
        <v>44055.66667</v>
      </c>
      <c r="B329" s="2">
        <f>IFERROR(__xludf.DUMMYFUNCTION("""COMPUTED_VALUE"""),103.65)</f>
        <v>103.65</v>
      </c>
      <c r="C329" s="3">
        <v>125.219635235111</v>
      </c>
    </row>
    <row r="330">
      <c r="A330" s="1">
        <f>IFERROR(__xludf.DUMMYFUNCTION("""COMPUTED_VALUE"""),44056.66666666667)</f>
        <v>44056.66667</v>
      </c>
      <c r="B330" s="2">
        <f>IFERROR(__xludf.DUMMYFUNCTION("""COMPUTED_VALUE"""),108.07)</f>
        <v>108.07</v>
      </c>
      <c r="C330" s="3">
        <v>125.075190215648</v>
      </c>
    </row>
    <row r="331">
      <c r="A331" s="1">
        <f>IFERROR(__xludf.DUMMYFUNCTION("""COMPUTED_VALUE"""),44057.66666666667)</f>
        <v>44057.66667</v>
      </c>
      <c r="B331" s="2">
        <f>IFERROR(__xludf.DUMMYFUNCTION("""COMPUTED_VALUE"""),110.05)</f>
        <v>110.05</v>
      </c>
      <c r="C331" s="3">
        <v>125.247836098928</v>
      </c>
    </row>
    <row r="332">
      <c r="A332" s="1">
        <f>IFERROR(__xludf.DUMMYFUNCTION("""COMPUTED_VALUE"""),44060.66666666667)</f>
        <v>44060.66667</v>
      </c>
      <c r="B332" s="2">
        <f>IFERROR(__xludf.DUMMYFUNCTION("""COMPUTED_VALUE"""),122.38)</f>
        <v>122.38</v>
      </c>
      <c r="C332" s="3">
        <v>129.199503166504</v>
      </c>
    </row>
    <row r="333">
      <c r="A333" s="1">
        <f>IFERROR(__xludf.DUMMYFUNCTION("""COMPUTED_VALUE"""),44061.66666666667)</f>
        <v>44061.66667</v>
      </c>
      <c r="B333" s="2">
        <f>IFERROR(__xludf.DUMMYFUNCTION("""COMPUTED_VALUE"""),125.81)</f>
        <v>125.81</v>
      </c>
      <c r="C333" s="3">
        <v>128.964101420783</v>
      </c>
    </row>
    <row r="334">
      <c r="A334" s="1">
        <f>IFERROR(__xludf.DUMMYFUNCTION("""COMPUTED_VALUE"""),44062.66666666667)</f>
        <v>44062.66667</v>
      </c>
      <c r="B334" s="2">
        <f>IFERROR(__xludf.DUMMYFUNCTION("""COMPUTED_VALUE"""),125.24)</f>
        <v>125.24</v>
      </c>
      <c r="C334" s="3">
        <v>130.010154570341</v>
      </c>
    </row>
    <row r="335">
      <c r="A335" s="1">
        <f>IFERROR(__xludf.DUMMYFUNCTION("""COMPUTED_VALUE"""),44063.66666666667)</f>
        <v>44063.66667</v>
      </c>
      <c r="B335" s="2">
        <f>IFERROR(__xludf.DUMMYFUNCTION("""COMPUTED_VALUE"""),133.46)</f>
        <v>133.46</v>
      </c>
      <c r="C335" s="3">
        <v>129.868461090051</v>
      </c>
    </row>
    <row r="336">
      <c r="A336" s="1">
        <f>IFERROR(__xludf.DUMMYFUNCTION("""COMPUTED_VALUE"""),44064.66666666667)</f>
        <v>44064.66667</v>
      </c>
      <c r="B336" s="2">
        <f>IFERROR(__xludf.DUMMYFUNCTION("""COMPUTED_VALUE"""),136.67)</f>
        <v>136.67</v>
      </c>
      <c r="C336" s="3">
        <v>130.056455378932</v>
      </c>
    </row>
    <row r="337">
      <c r="A337" s="1">
        <f>IFERROR(__xludf.DUMMYFUNCTION("""COMPUTED_VALUE"""),44067.66666666667)</f>
        <v>44067.66667</v>
      </c>
      <c r="B337" s="2">
        <f>IFERROR(__xludf.DUMMYFUNCTION("""COMPUTED_VALUE"""),134.28)</f>
        <v>134.28</v>
      </c>
      <c r="C337" s="3">
        <v>134.171797251043</v>
      </c>
    </row>
    <row r="338">
      <c r="A338" s="1">
        <f>IFERROR(__xludf.DUMMYFUNCTION("""COMPUTED_VALUE"""),44068.66666666667)</f>
        <v>44068.66667</v>
      </c>
      <c r="B338" s="2">
        <f>IFERROR(__xludf.DUMMYFUNCTION("""COMPUTED_VALUE"""),134.89)</f>
        <v>134.89</v>
      </c>
      <c r="C338" s="3">
        <v>134.040871350433</v>
      </c>
    </row>
    <row r="339">
      <c r="A339" s="1">
        <f>IFERROR(__xludf.DUMMYFUNCTION("""COMPUTED_VALUE"""),44069.66666666667)</f>
        <v>44069.66667</v>
      </c>
      <c r="B339" s="2">
        <f>IFERROR(__xludf.DUMMYFUNCTION("""COMPUTED_VALUE"""),143.54)</f>
        <v>143.54</v>
      </c>
      <c r="C339" s="3">
        <v>135.219359827013</v>
      </c>
    </row>
    <row r="340">
      <c r="A340" s="1">
        <f>IFERROR(__xludf.DUMMYFUNCTION("""COMPUTED_VALUE"""),44070.66666666667)</f>
        <v>44070.66667</v>
      </c>
      <c r="B340" s="2">
        <f>IFERROR(__xludf.DUMMYFUNCTION("""COMPUTED_VALUE"""),149.25)</f>
        <v>149.25</v>
      </c>
      <c r="C340" s="3">
        <v>135.238110741061</v>
      </c>
    </row>
    <row r="341">
      <c r="A341" s="1">
        <f>IFERROR(__xludf.DUMMYFUNCTION("""COMPUTED_VALUE"""),44071.66666666667)</f>
        <v>44071.66667</v>
      </c>
      <c r="B341" s="2">
        <f>IFERROR(__xludf.DUMMYFUNCTION("""COMPUTED_VALUE"""),147.56)</f>
        <v>147.56</v>
      </c>
      <c r="C341" s="3">
        <v>135.613284785224</v>
      </c>
    </row>
    <row r="342">
      <c r="A342" s="1">
        <f>IFERROR(__xludf.DUMMYFUNCTION("""COMPUTED_VALUE"""),44074.66666666667)</f>
        <v>44074.66667</v>
      </c>
      <c r="B342" s="2">
        <f>IFERROR(__xludf.DUMMYFUNCTION("""COMPUTED_VALUE"""),166.11)</f>
        <v>166.11</v>
      </c>
      <c r="C342" s="3">
        <v>140.417235874477</v>
      </c>
    </row>
    <row r="343">
      <c r="A343" s="1">
        <f>IFERROR(__xludf.DUMMYFUNCTION("""COMPUTED_VALUE"""),44075.66666666667)</f>
        <v>44075.66667</v>
      </c>
      <c r="B343" s="2">
        <f>IFERROR(__xludf.DUMMYFUNCTION("""COMPUTED_VALUE"""),158.35)</f>
        <v>158.35</v>
      </c>
      <c r="C343" s="3">
        <v>140.54043291778</v>
      </c>
    </row>
    <row r="344">
      <c r="A344" s="1">
        <f>IFERROR(__xludf.DUMMYFUNCTION("""COMPUTED_VALUE"""),44076.66666666667)</f>
        <v>44076.66667</v>
      </c>
      <c r="B344" s="2">
        <f>IFERROR(__xludf.DUMMYFUNCTION("""COMPUTED_VALUE"""),149.12)</f>
        <v>149.12</v>
      </c>
      <c r="C344" s="3">
        <v>141.973465260019</v>
      </c>
    </row>
    <row r="345">
      <c r="A345" s="1">
        <f>IFERROR(__xludf.DUMMYFUNCTION("""COMPUTED_VALUE"""),44077.66666666667)</f>
        <v>44077.66667</v>
      </c>
      <c r="B345" s="2">
        <f>IFERROR(__xludf.DUMMYFUNCTION("""COMPUTED_VALUE"""),135.67)</f>
        <v>135.67</v>
      </c>
      <c r="C345" s="3">
        <v>142.238604211355</v>
      </c>
    </row>
    <row r="346">
      <c r="A346" s="1">
        <f>IFERROR(__xludf.DUMMYFUNCTION("""COMPUTED_VALUE"""),44078.66666666667)</f>
        <v>44078.66667</v>
      </c>
      <c r="B346" s="2">
        <f>IFERROR(__xludf.DUMMYFUNCTION("""COMPUTED_VALUE"""),139.44)</f>
        <v>139.44</v>
      </c>
      <c r="C346" s="3">
        <v>142.842771516985</v>
      </c>
    </row>
    <row r="347">
      <c r="A347" s="1">
        <f>IFERROR(__xludf.DUMMYFUNCTION("""COMPUTED_VALUE"""),44082.66666666667)</f>
        <v>44082.66667</v>
      </c>
      <c r="B347" s="2">
        <f>IFERROR(__xludf.DUMMYFUNCTION("""COMPUTED_VALUE"""),110.07)</f>
        <v>110.07</v>
      </c>
      <c r="C347" s="3">
        <v>148.319604483158</v>
      </c>
    </row>
    <row r="348">
      <c r="A348" s="1">
        <f>IFERROR(__xludf.DUMMYFUNCTION("""COMPUTED_VALUE"""),44083.66666666667)</f>
        <v>44083.66667</v>
      </c>
      <c r="B348" s="2">
        <f>IFERROR(__xludf.DUMMYFUNCTION("""COMPUTED_VALUE"""),122.09)</f>
        <v>122.09</v>
      </c>
      <c r="C348" s="3">
        <v>149.752805486852</v>
      </c>
    </row>
    <row r="349">
      <c r="A349" s="1">
        <f>IFERROR(__xludf.DUMMYFUNCTION("""COMPUTED_VALUE"""),44084.66666666667)</f>
        <v>44084.66667</v>
      </c>
      <c r="B349" s="2">
        <f>IFERROR(__xludf.DUMMYFUNCTION("""COMPUTED_VALUE"""),123.78)</f>
        <v>123.78</v>
      </c>
      <c r="C349" s="3">
        <v>149.947662071307</v>
      </c>
    </row>
    <row r="350">
      <c r="A350" s="1">
        <f>IFERROR(__xludf.DUMMYFUNCTION("""COMPUTED_VALUE"""),44085.66666666667)</f>
        <v>44085.66667</v>
      </c>
      <c r="B350" s="2">
        <f>IFERROR(__xludf.DUMMYFUNCTION("""COMPUTED_VALUE"""),124.24)</f>
        <v>124.24</v>
      </c>
      <c r="C350" s="3">
        <v>150.405523153095</v>
      </c>
    </row>
    <row r="351">
      <c r="A351" s="1">
        <f>IFERROR(__xludf.DUMMYFUNCTION("""COMPUTED_VALUE"""),44088.66666666667)</f>
        <v>44088.66667</v>
      </c>
      <c r="B351" s="2">
        <f>IFERROR(__xludf.DUMMYFUNCTION("""COMPUTED_VALUE"""),139.87)</f>
        <v>139.87</v>
      </c>
      <c r="C351" s="3">
        <v>154.771198119577</v>
      </c>
    </row>
    <row r="352">
      <c r="A352" s="1">
        <f>IFERROR(__xludf.DUMMYFUNCTION("""COMPUTED_VALUE"""),44089.66666666667)</f>
        <v>44089.66667</v>
      </c>
      <c r="B352" s="2">
        <f>IFERROR(__xludf.DUMMYFUNCTION("""COMPUTED_VALUE"""),149.92)</f>
        <v>149.92</v>
      </c>
      <c r="C352" s="3">
        <v>154.48837163926</v>
      </c>
    </row>
    <row r="353">
      <c r="A353" s="1">
        <f>IFERROR(__xludf.DUMMYFUNCTION("""COMPUTED_VALUE"""),44090.66666666667)</f>
        <v>44090.66667</v>
      </c>
      <c r="B353" s="2">
        <f>IFERROR(__xludf.DUMMYFUNCTION("""COMPUTED_VALUE"""),147.25)</f>
        <v>147.25</v>
      </c>
      <c r="C353" s="3">
        <v>155.376704405845</v>
      </c>
    </row>
    <row r="354">
      <c r="A354" s="1">
        <f>IFERROR(__xludf.DUMMYFUNCTION("""COMPUTED_VALUE"""),44091.66666666667)</f>
        <v>44091.66667</v>
      </c>
      <c r="B354" s="2">
        <f>IFERROR(__xludf.DUMMYFUNCTION("""COMPUTED_VALUE"""),141.14)</f>
        <v>141.14</v>
      </c>
      <c r="C354" s="3">
        <v>154.958065454556</v>
      </c>
    </row>
    <row r="355">
      <c r="A355" s="1">
        <f>IFERROR(__xludf.DUMMYFUNCTION("""COMPUTED_VALUE"""),44092.66666666667)</f>
        <v>44092.66667</v>
      </c>
      <c r="B355" s="2">
        <f>IFERROR(__xludf.DUMMYFUNCTION("""COMPUTED_VALUE"""),147.38)</f>
        <v>147.38</v>
      </c>
      <c r="C355" s="3">
        <v>154.742510028952</v>
      </c>
    </row>
    <row r="356">
      <c r="A356" s="1">
        <f>IFERROR(__xludf.DUMMYFUNCTION("""COMPUTED_VALUE"""),44095.66666666667)</f>
        <v>44095.66667</v>
      </c>
      <c r="B356" s="2">
        <f>IFERROR(__xludf.DUMMYFUNCTION("""COMPUTED_VALUE"""),149.8)</f>
        <v>149.8</v>
      </c>
      <c r="C356" s="3">
        <v>156.843530120259</v>
      </c>
    </row>
    <row r="357">
      <c r="A357" s="1">
        <f>IFERROR(__xludf.DUMMYFUNCTION("""COMPUTED_VALUE"""),44096.66666666667)</f>
        <v>44096.66667</v>
      </c>
      <c r="B357" s="2">
        <f>IFERROR(__xludf.DUMMYFUNCTION("""COMPUTED_VALUE"""),141.41)</f>
        <v>141.41</v>
      </c>
      <c r="C357" s="3">
        <v>155.770362056066</v>
      </c>
    </row>
    <row r="358">
      <c r="A358" s="1">
        <f>IFERROR(__xludf.DUMMYFUNCTION("""COMPUTED_VALUE"""),44097.66666666667)</f>
        <v>44097.66667</v>
      </c>
      <c r="B358" s="2">
        <f>IFERROR(__xludf.DUMMYFUNCTION("""COMPUTED_VALUE"""),126.79)</f>
        <v>126.79</v>
      </c>
      <c r="C358" s="3">
        <v>155.876354131808</v>
      </c>
    </row>
    <row r="359">
      <c r="A359" s="1">
        <f>IFERROR(__xludf.DUMMYFUNCTION("""COMPUTED_VALUE"""),44098.66666666667)</f>
        <v>44098.66667</v>
      </c>
      <c r="B359" s="2">
        <f>IFERROR(__xludf.DUMMYFUNCTION("""COMPUTED_VALUE"""),129.26)</f>
        <v>129.26</v>
      </c>
      <c r="C359" s="3">
        <v>154.699674491135</v>
      </c>
    </row>
    <row r="360">
      <c r="A360" s="1">
        <f>IFERROR(__xludf.DUMMYFUNCTION("""COMPUTED_VALUE"""),44099.66666666667)</f>
        <v>44099.66667</v>
      </c>
      <c r="B360" s="2">
        <f>IFERROR(__xludf.DUMMYFUNCTION("""COMPUTED_VALUE"""),135.78)</f>
        <v>135.78</v>
      </c>
      <c r="C360" s="3">
        <v>153.766683533704</v>
      </c>
    </row>
    <row r="361">
      <c r="A361" s="1">
        <f>IFERROR(__xludf.DUMMYFUNCTION("""COMPUTED_VALUE"""),44102.66666666667)</f>
        <v>44102.66667</v>
      </c>
      <c r="B361" s="2">
        <f>IFERROR(__xludf.DUMMYFUNCTION("""COMPUTED_VALUE"""),140.4)</f>
        <v>140.4</v>
      </c>
      <c r="C361" s="3">
        <v>154.113257493173</v>
      </c>
    </row>
    <row r="362">
      <c r="A362" s="1">
        <f>IFERROR(__xludf.DUMMYFUNCTION("""COMPUTED_VALUE"""),44103.66666666667)</f>
        <v>44103.66667</v>
      </c>
      <c r="B362" s="2">
        <f>IFERROR(__xludf.DUMMYFUNCTION("""COMPUTED_VALUE"""),139.69)</f>
        <v>139.69</v>
      </c>
      <c r="C362" s="3">
        <v>152.633464769606</v>
      </c>
    </row>
    <row r="363">
      <c r="A363" s="1">
        <f>IFERROR(__xludf.DUMMYFUNCTION("""COMPUTED_VALUE"""),44104.66666666667)</f>
        <v>44104.66667</v>
      </c>
      <c r="B363" s="2">
        <f>IFERROR(__xludf.DUMMYFUNCTION("""COMPUTED_VALUE"""),143.0)</f>
        <v>143</v>
      </c>
      <c r="C363" s="3">
        <v>152.440452284177</v>
      </c>
    </row>
    <row r="364">
      <c r="A364" s="1">
        <f>IFERROR(__xludf.DUMMYFUNCTION("""COMPUTED_VALUE"""),44105.66666666667)</f>
        <v>44105.66667</v>
      </c>
      <c r="B364" s="2">
        <f>IFERROR(__xludf.DUMMYFUNCTION("""COMPUTED_VALUE"""),149.39)</f>
        <v>149.39</v>
      </c>
      <c r="C364" s="3">
        <v>151.080248374922</v>
      </c>
    </row>
    <row r="365">
      <c r="A365" s="1">
        <f>IFERROR(__xludf.DUMMYFUNCTION("""COMPUTED_VALUE"""),44106.66666666667)</f>
        <v>44106.66667</v>
      </c>
      <c r="B365" s="2">
        <f>IFERROR(__xludf.DUMMYFUNCTION("""COMPUTED_VALUE"""),138.36)</f>
        <v>138.36</v>
      </c>
      <c r="C365" s="3">
        <v>150.084533875147</v>
      </c>
    </row>
    <row r="366">
      <c r="A366" s="1">
        <f>IFERROR(__xludf.DUMMYFUNCTION("""COMPUTED_VALUE"""),44109.66666666667)</f>
        <v>44109.66667</v>
      </c>
      <c r="B366" s="2">
        <f>IFERROR(__xludf.DUMMYFUNCTION("""COMPUTED_VALUE"""),141.89)</f>
        <v>141.89</v>
      </c>
      <c r="C366" s="3">
        <v>150.979546105106</v>
      </c>
    </row>
    <row r="367">
      <c r="A367" s="1">
        <f>IFERROR(__xludf.DUMMYFUNCTION("""COMPUTED_VALUE"""),44110.66666666667)</f>
        <v>44110.66667</v>
      </c>
      <c r="B367" s="2">
        <f>IFERROR(__xludf.DUMMYFUNCTION("""COMPUTED_VALUE"""),137.99)</f>
        <v>137.99</v>
      </c>
      <c r="C367" s="3">
        <v>149.917818450846</v>
      </c>
    </row>
    <row r="368">
      <c r="A368" s="1">
        <f>IFERROR(__xludf.DUMMYFUNCTION("""COMPUTED_VALUE"""),44111.66666666667)</f>
        <v>44111.66667</v>
      </c>
      <c r="B368" s="2">
        <f>IFERROR(__xludf.DUMMYFUNCTION("""COMPUTED_VALUE"""),141.77)</f>
        <v>141.77</v>
      </c>
      <c r="C368" s="3">
        <v>150.248393226099</v>
      </c>
    </row>
    <row r="369">
      <c r="A369" s="1">
        <f>IFERROR(__xludf.DUMMYFUNCTION("""COMPUTED_VALUE"""),44112.66666666667)</f>
        <v>44112.66667</v>
      </c>
      <c r="B369" s="2">
        <f>IFERROR(__xludf.DUMMYFUNCTION("""COMPUTED_VALUE"""),141.97)</f>
        <v>141.97</v>
      </c>
      <c r="C369" s="3">
        <v>149.506161529814</v>
      </c>
    </row>
    <row r="370">
      <c r="A370" s="1">
        <f>IFERROR(__xludf.DUMMYFUNCTION("""COMPUTED_VALUE"""),44113.66666666667)</f>
        <v>44113.66667</v>
      </c>
      <c r="B370" s="2">
        <f>IFERROR(__xludf.DUMMYFUNCTION("""COMPUTED_VALUE"""),144.67)</f>
        <v>144.67</v>
      </c>
      <c r="C370" s="3">
        <v>149.209420974425</v>
      </c>
    </row>
    <row r="371">
      <c r="A371" s="1">
        <f>IFERROR(__xludf.DUMMYFUNCTION("""COMPUTED_VALUE"""),44116.66666666667)</f>
        <v>44116.66667</v>
      </c>
      <c r="B371" s="2">
        <f>IFERROR(__xludf.DUMMYFUNCTION("""COMPUTED_VALUE"""),147.43)</f>
        <v>147.43</v>
      </c>
      <c r="C371" s="3">
        <v>152.527115292702</v>
      </c>
    </row>
    <row r="372">
      <c r="A372" s="1">
        <f>IFERROR(__xludf.DUMMYFUNCTION("""COMPUTED_VALUE"""),44117.66666666667)</f>
        <v>44117.66667</v>
      </c>
      <c r="B372" s="2">
        <f>IFERROR(__xludf.DUMMYFUNCTION("""COMPUTED_VALUE"""),148.88)</f>
        <v>148.88</v>
      </c>
      <c r="C372" s="3">
        <v>152.322196246399</v>
      </c>
    </row>
    <row r="373">
      <c r="A373" s="1">
        <f>IFERROR(__xludf.DUMMYFUNCTION("""COMPUTED_VALUE"""),44118.66666666667)</f>
        <v>44118.66667</v>
      </c>
      <c r="B373" s="2">
        <f>IFERROR(__xludf.DUMMYFUNCTION("""COMPUTED_VALUE"""),153.77)</f>
        <v>153.77</v>
      </c>
      <c r="C373" s="3">
        <v>153.503177794285</v>
      </c>
    </row>
    <row r="374">
      <c r="A374" s="1">
        <f>IFERROR(__xludf.DUMMYFUNCTION("""COMPUTED_VALUE"""),44119.66666666667)</f>
        <v>44119.66667</v>
      </c>
      <c r="B374" s="2">
        <f>IFERROR(__xludf.DUMMYFUNCTION("""COMPUTED_VALUE"""),149.63)</f>
        <v>149.63</v>
      </c>
      <c r="C374" s="3">
        <v>153.586536813595</v>
      </c>
    </row>
    <row r="375">
      <c r="A375" s="1">
        <f>IFERROR(__xludf.DUMMYFUNCTION("""COMPUTED_VALUE"""),44120.66666666667)</f>
        <v>44120.66667</v>
      </c>
      <c r="B375" s="2">
        <f>IFERROR(__xludf.DUMMYFUNCTION("""COMPUTED_VALUE"""),146.56)</f>
        <v>146.56</v>
      </c>
      <c r="C375" s="3">
        <v>154.072970144711</v>
      </c>
    </row>
    <row r="376">
      <c r="A376" s="1">
        <f>IFERROR(__xludf.DUMMYFUNCTION("""COMPUTED_VALUE"""),44123.66666666667)</f>
        <v>44123.66667</v>
      </c>
      <c r="B376" s="2">
        <f>IFERROR(__xludf.DUMMYFUNCTION("""COMPUTED_VALUE"""),143.61)</f>
        <v>143.61</v>
      </c>
      <c r="C376" s="3">
        <v>159.331366511037</v>
      </c>
    </row>
    <row r="377">
      <c r="A377" s="1">
        <f>IFERROR(__xludf.DUMMYFUNCTION("""COMPUTED_VALUE"""),44124.66666666667)</f>
        <v>44124.66667</v>
      </c>
      <c r="B377" s="2">
        <f>IFERROR(__xludf.DUMMYFUNCTION("""COMPUTED_VALUE"""),140.65)</f>
        <v>140.65</v>
      </c>
      <c r="C377" s="3">
        <v>159.59565032655</v>
      </c>
    </row>
    <row r="378">
      <c r="A378" s="1">
        <f>IFERROR(__xludf.DUMMYFUNCTION("""COMPUTED_VALUE"""),44125.66666666667)</f>
        <v>44125.66667</v>
      </c>
      <c r="B378" s="2">
        <f>IFERROR(__xludf.DUMMYFUNCTION("""COMPUTED_VALUE"""),140.88)</f>
        <v>140.88</v>
      </c>
      <c r="C378" s="3">
        <v>161.142416290402</v>
      </c>
    </row>
    <row r="379">
      <c r="A379" s="1">
        <f>IFERROR(__xludf.DUMMYFUNCTION("""COMPUTED_VALUE"""),44126.66666666667)</f>
        <v>44126.66667</v>
      </c>
      <c r="B379" s="2">
        <f>IFERROR(__xludf.DUMMYFUNCTION("""COMPUTED_VALUE"""),141.93)</f>
        <v>141.93</v>
      </c>
      <c r="C379" s="3">
        <v>161.483577584792</v>
      </c>
    </row>
    <row r="380">
      <c r="A380" s="1">
        <f>IFERROR(__xludf.DUMMYFUNCTION("""COMPUTED_VALUE"""),44127.66666666667)</f>
        <v>44127.66667</v>
      </c>
      <c r="B380" s="2">
        <f>IFERROR(__xludf.DUMMYFUNCTION("""COMPUTED_VALUE"""),140.21)</f>
        <v>140.21</v>
      </c>
      <c r="C380" s="3">
        <v>162.11823770258</v>
      </c>
    </row>
    <row r="381">
      <c r="A381" s="1">
        <f>IFERROR(__xludf.DUMMYFUNCTION("""COMPUTED_VALUE"""),44130.66666666667)</f>
        <v>44130.66667</v>
      </c>
      <c r="B381" s="2">
        <f>IFERROR(__xludf.DUMMYFUNCTION("""COMPUTED_VALUE"""),140.09)</f>
        <v>140.09</v>
      </c>
      <c r="C381" s="3">
        <v>167.192354302057</v>
      </c>
    </row>
    <row r="382">
      <c r="A382" s="1">
        <f>IFERROR(__xludf.DUMMYFUNCTION("""COMPUTED_VALUE"""),44131.66666666667)</f>
        <v>44131.66667</v>
      </c>
      <c r="B382" s="2">
        <f>IFERROR(__xludf.DUMMYFUNCTION("""COMPUTED_VALUE"""),141.56)</f>
        <v>141.56</v>
      </c>
      <c r="C382" s="3">
        <v>167.209041129672</v>
      </c>
    </row>
    <row r="383">
      <c r="A383" s="1">
        <f>IFERROR(__xludf.DUMMYFUNCTION("""COMPUTED_VALUE"""),44132.66666666667)</f>
        <v>44132.66667</v>
      </c>
      <c r="B383" s="2">
        <f>IFERROR(__xludf.DUMMYFUNCTION("""COMPUTED_VALUE"""),135.34)</f>
        <v>135.34</v>
      </c>
      <c r="C383" s="3">
        <v>168.433076484756</v>
      </c>
    </row>
    <row r="384">
      <c r="A384" s="1">
        <f>IFERROR(__xludf.DUMMYFUNCTION("""COMPUTED_VALUE"""),44133.66666666667)</f>
        <v>44133.66667</v>
      </c>
      <c r="B384" s="2">
        <f>IFERROR(__xludf.DUMMYFUNCTION("""COMPUTED_VALUE"""),136.94)</f>
        <v>136.94</v>
      </c>
      <c r="C384" s="3">
        <v>168.390200493442</v>
      </c>
    </row>
    <row r="385">
      <c r="A385" s="1">
        <f>IFERROR(__xludf.DUMMYFUNCTION("""COMPUTED_VALUE"""),44134.66666666667)</f>
        <v>44134.66667</v>
      </c>
      <c r="B385" s="2">
        <f>IFERROR(__xludf.DUMMYFUNCTION("""COMPUTED_VALUE"""),129.35)</f>
        <v>129.35</v>
      </c>
      <c r="C385" s="3">
        <v>168.59482163537</v>
      </c>
    </row>
    <row r="386">
      <c r="A386" s="1">
        <f>IFERROR(__xludf.DUMMYFUNCTION("""COMPUTED_VALUE"""),44137.66666666667)</f>
        <v>44137.66667</v>
      </c>
      <c r="B386" s="2">
        <f>IFERROR(__xludf.DUMMYFUNCTION("""COMPUTED_VALUE"""),133.5)</f>
        <v>133.5</v>
      </c>
      <c r="C386" s="3">
        <v>172.268160507572</v>
      </c>
    </row>
    <row r="387">
      <c r="A387" s="1">
        <f>IFERROR(__xludf.DUMMYFUNCTION("""COMPUTED_VALUE"""),44138.66666666667)</f>
        <v>44138.66667</v>
      </c>
      <c r="B387" s="2">
        <f>IFERROR(__xludf.DUMMYFUNCTION("""COMPUTED_VALUE"""),141.3)</f>
        <v>141.3</v>
      </c>
      <c r="C387" s="3">
        <v>171.836761617179</v>
      </c>
    </row>
    <row r="388">
      <c r="A388" s="1">
        <f>IFERROR(__xludf.DUMMYFUNCTION("""COMPUTED_VALUE"""),44139.66666666667)</f>
        <v>44139.66667</v>
      </c>
      <c r="B388" s="2">
        <f>IFERROR(__xludf.DUMMYFUNCTION("""COMPUTED_VALUE"""),140.33)</f>
        <v>140.33</v>
      </c>
      <c r="C388" s="3">
        <v>172.648543415593</v>
      </c>
    </row>
    <row r="389">
      <c r="A389" s="1">
        <f>IFERROR(__xludf.DUMMYFUNCTION("""COMPUTED_VALUE"""),44140.66666666667)</f>
        <v>44140.66667</v>
      </c>
      <c r="B389" s="2">
        <f>IFERROR(__xludf.DUMMYFUNCTION("""COMPUTED_VALUE"""),146.03)</f>
        <v>146.03</v>
      </c>
      <c r="C389" s="3">
        <v>172.243213860259</v>
      </c>
    </row>
    <row r="390">
      <c r="A390" s="1">
        <f>IFERROR(__xludf.DUMMYFUNCTION("""COMPUTED_VALUE"""),44141.66666666667)</f>
        <v>44141.66667</v>
      </c>
      <c r="B390" s="2">
        <f>IFERROR(__xludf.DUMMYFUNCTION("""COMPUTED_VALUE"""),143.32)</f>
        <v>143.32</v>
      </c>
      <c r="C390" s="3">
        <v>172.147288549191</v>
      </c>
    </row>
    <row r="391">
      <c r="A391" s="1">
        <f>IFERROR(__xludf.DUMMYFUNCTION("""COMPUTED_VALUE"""),44144.66666666667)</f>
        <v>44144.66667</v>
      </c>
      <c r="B391" s="2">
        <f>IFERROR(__xludf.DUMMYFUNCTION("""COMPUTED_VALUE"""),140.42)</f>
        <v>140.42</v>
      </c>
      <c r="C391" s="3">
        <v>175.376387743807</v>
      </c>
    </row>
    <row r="392">
      <c r="A392" s="1">
        <f>IFERROR(__xludf.DUMMYFUNCTION("""COMPUTED_VALUE"""),44145.66666666667)</f>
        <v>44145.66667</v>
      </c>
      <c r="B392" s="2">
        <f>IFERROR(__xludf.DUMMYFUNCTION("""COMPUTED_VALUE"""),136.79)</f>
        <v>136.79</v>
      </c>
      <c r="C392" s="3">
        <v>174.964585943328</v>
      </c>
    </row>
    <row r="393">
      <c r="A393" s="1">
        <f>IFERROR(__xludf.DUMMYFUNCTION("""COMPUTED_VALUE"""),44146.66666666667)</f>
        <v>44146.66667</v>
      </c>
      <c r="B393" s="2">
        <f>IFERROR(__xludf.DUMMYFUNCTION("""COMPUTED_VALUE"""),139.04)</f>
        <v>139.04</v>
      </c>
      <c r="C393" s="3">
        <v>175.880195985241</v>
      </c>
    </row>
    <row r="394">
      <c r="A394" s="1">
        <f>IFERROR(__xludf.DUMMYFUNCTION("""COMPUTED_VALUE"""),44147.66666666667)</f>
        <v>44147.66667</v>
      </c>
      <c r="B394" s="2">
        <f>IFERROR(__xludf.DUMMYFUNCTION("""COMPUTED_VALUE"""),137.25)</f>
        <v>137.25</v>
      </c>
      <c r="C394" s="3">
        <v>175.658781632198</v>
      </c>
    </row>
    <row r="395">
      <c r="A395" s="1">
        <f>IFERROR(__xludf.DUMMYFUNCTION("""COMPUTED_VALUE"""),44148.66666666667)</f>
        <v>44148.66667</v>
      </c>
      <c r="B395" s="2">
        <f>IFERROR(__xludf.DUMMYFUNCTION("""COMPUTED_VALUE"""),136.17)</f>
        <v>136.17</v>
      </c>
      <c r="C395" s="3">
        <v>175.819924797298</v>
      </c>
    </row>
    <row r="396">
      <c r="A396" s="1">
        <f>IFERROR(__xludf.DUMMYFUNCTION("""COMPUTED_VALUE"""),44151.66666666667)</f>
        <v>44151.66667</v>
      </c>
      <c r="B396" s="2">
        <f>IFERROR(__xludf.DUMMYFUNCTION("""COMPUTED_VALUE"""),136.03)</f>
        <v>136.03</v>
      </c>
      <c r="C396" s="3">
        <v>180.152887529678</v>
      </c>
    </row>
    <row r="397">
      <c r="A397" s="1">
        <f>IFERROR(__xludf.DUMMYFUNCTION("""COMPUTED_VALUE"""),44152.66666666667)</f>
        <v>44152.66667</v>
      </c>
      <c r="B397" s="2">
        <f>IFERROR(__xludf.DUMMYFUNCTION("""COMPUTED_VALUE"""),147.2)</f>
        <v>147.2</v>
      </c>
      <c r="C397" s="3">
        <v>180.174535240127</v>
      </c>
    </row>
    <row r="398">
      <c r="A398" s="1">
        <f>IFERROR(__xludf.DUMMYFUNCTION("""COMPUTED_VALUE"""),44153.66666666667)</f>
        <v>44153.66667</v>
      </c>
      <c r="B398" s="2">
        <f>IFERROR(__xludf.DUMMYFUNCTION("""COMPUTED_VALUE"""),162.21)</f>
        <v>162.21</v>
      </c>
      <c r="C398" s="3">
        <v>181.530121703047</v>
      </c>
    </row>
    <row r="399">
      <c r="A399" s="1">
        <f>IFERROR(__xludf.DUMMYFUNCTION("""COMPUTED_VALUE"""),44154.66666666667)</f>
        <v>44154.66667</v>
      </c>
      <c r="B399" s="2">
        <f>IFERROR(__xludf.DUMMYFUNCTION("""COMPUTED_VALUE"""),166.42)</f>
        <v>166.42</v>
      </c>
      <c r="C399" s="3">
        <v>181.738370890562</v>
      </c>
    </row>
    <row r="400">
      <c r="A400" s="1">
        <f>IFERROR(__xludf.DUMMYFUNCTION("""COMPUTED_VALUE"""),44155.66666666667)</f>
        <v>44155.66667</v>
      </c>
      <c r="B400" s="2">
        <f>IFERROR(__xludf.DUMMYFUNCTION("""COMPUTED_VALUE"""),163.2)</f>
        <v>163.2</v>
      </c>
      <c r="C400" s="3">
        <v>182.302012679589</v>
      </c>
    </row>
    <row r="401">
      <c r="A401" s="1">
        <f>IFERROR(__xludf.DUMMYFUNCTION("""COMPUTED_VALUE"""),44158.66666666667)</f>
        <v>44158.66667</v>
      </c>
      <c r="B401" s="2">
        <f>IFERROR(__xludf.DUMMYFUNCTION("""COMPUTED_VALUE"""),173.95)</f>
        <v>173.95</v>
      </c>
      <c r="C401" s="3">
        <v>187.521847378871</v>
      </c>
    </row>
    <row r="402">
      <c r="A402" s="1">
        <f>IFERROR(__xludf.DUMMYFUNCTION("""COMPUTED_VALUE"""),44159.66666666667)</f>
        <v>44159.66667</v>
      </c>
      <c r="B402" s="2">
        <f>IFERROR(__xludf.DUMMYFUNCTION("""COMPUTED_VALUE"""),185.13)</f>
        <v>185.13</v>
      </c>
      <c r="C402" s="3">
        <v>187.686836110134</v>
      </c>
    </row>
    <row r="403">
      <c r="A403" s="1">
        <f>IFERROR(__xludf.DUMMYFUNCTION("""COMPUTED_VALUE"""),44160.66666666667)</f>
        <v>44160.66667</v>
      </c>
      <c r="B403" s="2">
        <f>IFERROR(__xludf.DUMMYFUNCTION("""COMPUTED_VALUE"""),191.33)</f>
        <v>191.33</v>
      </c>
      <c r="C403" s="3">
        <v>189.09205856662</v>
      </c>
    </row>
    <row r="404">
      <c r="A404" s="1">
        <f>IFERROR(__xludf.DUMMYFUNCTION("""COMPUTED_VALUE"""),44162.54166666667)</f>
        <v>44162.54167</v>
      </c>
      <c r="B404" s="2">
        <f>IFERROR(__xludf.DUMMYFUNCTION("""COMPUTED_VALUE"""),195.25)</f>
        <v>195.25</v>
      </c>
      <c r="C404" s="3">
        <v>189.658399702049</v>
      </c>
    </row>
    <row r="405">
      <c r="A405" s="1">
        <f>IFERROR(__xludf.DUMMYFUNCTION("""COMPUTED_VALUE"""),44165.66666666667)</f>
        <v>44165.66667</v>
      </c>
      <c r="B405" s="2">
        <f>IFERROR(__xludf.DUMMYFUNCTION("""COMPUTED_VALUE"""),189.2)</f>
        <v>189.2</v>
      </c>
      <c r="C405" s="3">
        <v>193.799721173784</v>
      </c>
    </row>
    <row r="406">
      <c r="A406" s="1">
        <f>IFERROR(__xludf.DUMMYFUNCTION("""COMPUTED_VALUE"""),44166.66666666667)</f>
        <v>44166.66667</v>
      </c>
      <c r="B406" s="2">
        <f>IFERROR(__xludf.DUMMYFUNCTION("""COMPUTED_VALUE"""),194.92)</f>
        <v>194.92</v>
      </c>
      <c r="C406" s="3">
        <v>193.419830555824</v>
      </c>
    </row>
    <row r="407">
      <c r="A407" s="1">
        <f>IFERROR(__xludf.DUMMYFUNCTION("""COMPUTED_VALUE"""),44167.66666666667)</f>
        <v>44167.66667</v>
      </c>
      <c r="B407" s="2">
        <f>IFERROR(__xludf.DUMMYFUNCTION("""COMPUTED_VALUE"""),189.61)</f>
        <v>189.61</v>
      </c>
      <c r="C407" s="3">
        <v>194.204668366892</v>
      </c>
    </row>
    <row r="408">
      <c r="A408" s="1">
        <f>IFERROR(__xludf.DUMMYFUNCTION("""COMPUTED_VALUE"""),44168.66666666667)</f>
        <v>44168.66667</v>
      </c>
      <c r="B408" s="2">
        <f>IFERROR(__xludf.DUMMYFUNCTION("""COMPUTED_VALUE"""),197.79)</f>
        <v>197.79</v>
      </c>
      <c r="C408" s="3">
        <v>193.680611144283</v>
      </c>
    </row>
    <row r="409">
      <c r="A409" s="1">
        <f>IFERROR(__xludf.DUMMYFUNCTION("""COMPUTED_VALUE"""),44169.66666666667)</f>
        <v>44169.66667</v>
      </c>
      <c r="B409" s="2">
        <f>IFERROR(__xludf.DUMMYFUNCTION("""COMPUTED_VALUE"""),199.68)</f>
        <v>199.68</v>
      </c>
      <c r="C409" s="3">
        <v>193.363192481889</v>
      </c>
    </row>
    <row r="410">
      <c r="A410" s="1">
        <f>IFERROR(__xludf.DUMMYFUNCTION("""COMPUTED_VALUE"""),44172.66666666667)</f>
        <v>44172.66667</v>
      </c>
      <c r="B410" s="2">
        <f>IFERROR(__xludf.DUMMYFUNCTION("""COMPUTED_VALUE"""),213.92)</f>
        <v>213.92</v>
      </c>
      <c r="C410" s="3">
        <v>195.245653693787</v>
      </c>
    </row>
    <row r="411">
      <c r="A411" s="1">
        <f>IFERROR(__xludf.DUMMYFUNCTION("""COMPUTED_VALUE"""),44173.66666666667)</f>
        <v>44173.66667</v>
      </c>
      <c r="B411" s="2">
        <f>IFERROR(__xludf.DUMMYFUNCTION("""COMPUTED_VALUE"""),216.63)</f>
        <v>216.63</v>
      </c>
      <c r="C411" s="3">
        <v>194.152671018562</v>
      </c>
    </row>
    <row r="412">
      <c r="A412" s="1">
        <f>IFERROR(__xludf.DUMMYFUNCTION("""COMPUTED_VALUE"""),44174.66666666667)</f>
        <v>44174.66667</v>
      </c>
      <c r="B412" s="2">
        <f>IFERROR(__xludf.DUMMYFUNCTION("""COMPUTED_VALUE"""),201.49)</f>
        <v>201.49</v>
      </c>
      <c r="C412" s="3">
        <v>194.277582018637</v>
      </c>
    </row>
    <row r="413">
      <c r="A413" s="1">
        <f>IFERROR(__xludf.DUMMYFUNCTION("""COMPUTED_VALUE"""),44175.66666666667)</f>
        <v>44175.66667</v>
      </c>
      <c r="B413" s="2">
        <f>IFERROR(__xludf.DUMMYFUNCTION("""COMPUTED_VALUE"""),209.02)</f>
        <v>209.02</v>
      </c>
      <c r="C413" s="3">
        <v>193.165448233658</v>
      </c>
    </row>
    <row r="414">
      <c r="A414" s="1">
        <f>IFERROR(__xludf.DUMMYFUNCTION("""COMPUTED_VALUE"""),44176.66666666667)</f>
        <v>44176.66667</v>
      </c>
      <c r="B414" s="2">
        <f>IFERROR(__xludf.DUMMYFUNCTION("""COMPUTED_VALUE"""),203.33)</f>
        <v>203.33</v>
      </c>
      <c r="C414" s="3">
        <v>192.348858109928</v>
      </c>
    </row>
    <row r="415">
      <c r="A415" s="1">
        <f>IFERROR(__xludf.DUMMYFUNCTION("""COMPUTED_VALUE"""),44179.66666666667)</f>
        <v>44179.66667</v>
      </c>
      <c r="B415" s="2">
        <f>IFERROR(__xludf.DUMMYFUNCTION("""COMPUTED_VALUE"""),213.28)</f>
        <v>213.28</v>
      </c>
      <c r="C415" s="3">
        <v>193.402812748462</v>
      </c>
    </row>
    <row r="416">
      <c r="A416" s="1">
        <f>IFERROR(__xludf.DUMMYFUNCTION("""COMPUTED_VALUE"""),44180.66666666667)</f>
        <v>44180.66667</v>
      </c>
      <c r="B416" s="2">
        <f>IFERROR(__xludf.DUMMYFUNCTION("""COMPUTED_VALUE"""),211.08)</f>
        <v>211.08</v>
      </c>
      <c r="C416" s="3">
        <v>192.287281336348</v>
      </c>
    </row>
    <row r="417">
      <c r="A417" s="1">
        <f>IFERROR(__xludf.DUMMYFUNCTION("""COMPUTED_VALUE"""),44181.66666666667)</f>
        <v>44181.66667</v>
      </c>
      <c r="B417" s="2">
        <f>IFERROR(__xludf.DUMMYFUNCTION("""COMPUTED_VALUE"""),207.59)</f>
        <v>207.59</v>
      </c>
      <c r="C417" s="3">
        <v>192.523386458757</v>
      </c>
    </row>
    <row r="418">
      <c r="A418" s="1">
        <f>IFERROR(__xludf.DUMMYFUNCTION("""COMPUTED_VALUE"""),44182.66666666667)</f>
        <v>44182.66667</v>
      </c>
      <c r="B418" s="2">
        <f>IFERROR(__xludf.DUMMYFUNCTION("""COMPUTED_VALUE"""),218.63)</f>
        <v>218.63</v>
      </c>
      <c r="C418" s="3">
        <v>191.654928679366</v>
      </c>
    </row>
    <row r="419">
      <c r="A419" s="1">
        <f>IFERROR(__xludf.DUMMYFUNCTION("""COMPUTED_VALUE"""),44183.66666666667)</f>
        <v>44183.66667</v>
      </c>
      <c r="B419" s="2">
        <f>IFERROR(__xludf.DUMMYFUNCTION("""COMPUTED_VALUE"""),231.67)</f>
        <v>231.67</v>
      </c>
      <c r="C419" s="3">
        <v>191.209546517943</v>
      </c>
    </row>
    <row r="420">
      <c r="A420" s="1">
        <f>IFERROR(__xludf.DUMMYFUNCTION("""COMPUTED_VALUE"""),44186.66666666667)</f>
        <v>44186.66667</v>
      </c>
      <c r="B420" s="2">
        <f>IFERROR(__xludf.DUMMYFUNCTION("""COMPUTED_VALUE"""),216.62)</f>
        <v>216.62</v>
      </c>
      <c r="C420" s="3">
        <v>194.040019376595</v>
      </c>
    </row>
    <row r="421">
      <c r="A421" s="1">
        <f>IFERROR(__xludf.DUMMYFUNCTION("""COMPUTED_VALUE"""),44187.66666666667)</f>
        <v>44187.66667</v>
      </c>
      <c r="B421" s="2">
        <f>IFERROR(__xludf.DUMMYFUNCTION("""COMPUTED_VALUE"""),213.45)</f>
        <v>213.45</v>
      </c>
      <c r="C421" s="3">
        <v>193.687719512475</v>
      </c>
    </row>
    <row r="422">
      <c r="A422" s="1">
        <f>IFERROR(__xludf.DUMMYFUNCTION("""COMPUTED_VALUE"""),44188.66666666667)</f>
        <v>44188.66667</v>
      </c>
      <c r="B422" s="2">
        <f>IFERROR(__xludf.DUMMYFUNCTION("""COMPUTED_VALUE"""),215.33)</f>
        <v>215.33</v>
      </c>
      <c r="C422" s="3">
        <v>194.741060265305</v>
      </c>
    </row>
    <row r="423">
      <c r="A423" s="1">
        <f>IFERROR(__xludf.DUMMYFUNCTION("""COMPUTED_VALUE"""),44189.54166666667)</f>
        <v>44189.54167</v>
      </c>
      <c r="B423" s="2">
        <f>IFERROR(__xludf.DUMMYFUNCTION("""COMPUTED_VALUE"""),220.59)</f>
        <v>220.59</v>
      </c>
      <c r="C423" s="3">
        <v>194.722007542224</v>
      </c>
    </row>
    <row r="424">
      <c r="A424" s="1">
        <f>IFERROR(__xludf.DUMMYFUNCTION("""COMPUTED_VALUE"""),44193.66666666667)</f>
        <v>44193.66667</v>
      </c>
      <c r="B424" s="2">
        <f>IFERROR(__xludf.DUMMYFUNCTION("""COMPUTED_VALUE"""),221.23)</f>
        <v>221.23</v>
      </c>
      <c r="C424" s="3">
        <v>200.363058035831</v>
      </c>
    </row>
    <row r="425">
      <c r="A425" s="1">
        <f>IFERROR(__xludf.DUMMYFUNCTION("""COMPUTED_VALUE"""),44194.66666666667)</f>
        <v>44194.66667</v>
      </c>
      <c r="B425" s="2">
        <f>IFERROR(__xludf.DUMMYFUNCTION("""COMPUTED_VALUE"""),222.0)</f>
        <v>222</v>
      </c>
      <c r="C425" s="3">
        <v>200.675864731162</v>
      </c>
    </row>
    <row r="426">
      <c r="A426" s="1">
        <f>IFERROR(__xludf.DUMMYFUNCTION("""COMPUTED_VALUE"""),44195.66666666667)</f>
        <v>44195.66667</v>
      </c>
      <c r="B426" s="2">
        <f>IFERROR(__xludf.DUMMYFUNCTION("""COMPUTED_VALUE"""),231.59)</f>
        <v>231.59</v>
      </c>
      <c r="C426" s="3">
        <v>202.293917823042</v>
      </c>
    </row>
    <row r="427">
      <c r="A427" s="1">
        <f>IFERROR(__xludf.DUMMYFUNCTION("""COMPUTED_VALUE"""),44196.66666666667)</f>
        <v>44196.66667</v>
      </c>
      <c r="B427" s="2">
        <f>IFERROR(__xludf.DUMMYFUNCTION("""COMPUTED_VALUE"""),235.22)</f>
        <v>235.22</v>
      </c>
      <c r="C427" s="3">
        <v>202.722716993489</v>
      </c>
    </row>
    <row r="428">
      <c r="A428" s="1">
        <f>IFERROR(__xludf.DUMMYFUNCTION("""COMPUTED_VALUE"""),44200.66666666667)</f>
        <v>44200.66667</v>
      </c>
      <c r="B428" s="2">
        <f>IFERROR(__xludf.DUMMYFUNCTION("""COMPUTED_VALUE"""),243.26)</f>
        <v>243.26</v>
      </c>
      <c r="C428" s="3">
        <v>208.77336043506</v>
      </c>
    </row>
    <row r="429">
      <c r="A429" s="1">
        <f>IFERROR(__xludf.DUMMYFUNCTION("""COMPUTED_VALUE"""),44201.66666666667)</f>
        <v>44201.66667</v>
      </c>
      <c r="B429" s="2">
        <f>IFERROR(__xludf.DUMMYFUNCTION("""COMPUTED_VALUE"""),245.04)</f>
        <v>245.04</v>
      </c>
      <c r="C429" s="3">
        <v>208.823158042992</v>
      </c>
    </row>
    <row r="430">
      <c r="A430" s="1">
        <f>IFERROR(__xludf.DUMMYFUNCTION("""COMPUTED_VALUE"""),44202.66666666667)</f>
        <v>44202.66667</v>
      </c>
      <c r="B430" s="2">
        <f>IFERROR(__xludf.DUMMYFUNCTION("""COMPUTED_VALUE"""),251.99)</f>
        <v>251.99</v>
      </c>
      <c r="C430" s="3">
        <v>210.038241760187</v>
      </c>
    </row>
    <row r="431">
      <c r="A431" s="1">
        <f>IFERROR(__xludf.DUMMYFUNCTION("""COMPUTED_VALUE"""),44203.66666666667)</f>
        <v>44203.66667</v>
      </c>
      <c r="B431" s="2">
        <f>IFERROR(__xludf.DUMMYFUNCTION("""COMPUTED_VALUE"""),272.01)</f>
        <v>272.01</v>
      </c>
      <c r="C431" s="3">
        <v>209.934253242037</v>
      </c>
    </row>
    <row r="432">
      <c r="A432" s="1">
        <f>IFERROR(__xludf.DUMMYFUNCTION("""COMPUTED_VALUE"""),44204.66666666667)</f>
        <v>44204.66667</v>
      </c>
      <c r="B432" s="2">
        <f>IFERROR(__xludf.DUMMYFUNCTION("""COMPUTED_VALUE"""),293.34)</f>
        <v>293.34</v>
      </c>
      <c r="C432" s="3">
        <v>210.01633989539</v>
      </c>
    </row>
    <row r="433">
      <c r="A433" s="1">
        <f>IFERROR(__xludf.DUMMYFUNCTION("""COMPUTED_VALUE"""),44207.66666666667)</f>
        <v>44207.66667</v>
      </c>
      <c r="B433" s="2">
        <f>IFERROR(__xludf.DUMMYFUNCTION("""COMPUTED_VALUE"""),270.4)</f>
        <v>270.4</v>
      </c>
      <c r="C433" s="3">
        <v>212.880494238347</v>
      </c>
    </row>
    <row r="434">
      <c r="A434" s="1">
        <f>IFERROR(__xludf.DUMMYFUNCTION("""COMPUTED_VALUE"""),44208.66666666667)</f>
        <v>44208.66667</v>
      </c>
      <c r="B434" s="2">
        <f>IFERROR(__xludf.DUMMYFUNCTION("""COMPUTED_VALUE"""),283.15)</f>
        <v>283.15</v>
      </c>
      <c r="C434" s="3">
        <v>212.016382959383</v>
      </c>
    </row>
    <row r="435">
      <c r="A435" s="1">
        <f>IFERROR(__xludf.DUMMYFUNCTION("""COMPUTED_VALUE"""),44209.66666666667)</f>
        <v>44209.66667</v>
      </c>
      <c r="B435" s="2">
        <f>IFERROR(__xludf.DUMMYFUNCTION("""COMPUTED_VALUE"""),284.8)</f>
        <v>284.8</v>
      </c>
      <c r="C435" s="3">
        <v>212.311160399492</v>
      </c>
    </row>
    <row r="436">
      <c r="A436" s="1">
        <f>IFERROR(__xludf.DUMMYFUNCTION("""COMPUTED_VALUE"""),44210.66666666667)</f>
        <v>44210.66667</v>
      </c>
      <c r="B436" s="2">
        <f>IFERROR(__xludf.DUMMYFUNCTION("""COMPUTED_VALUE"""),281.67)</f>
        <v>281.67</v>
      </c>
      <c r="C436" s="3">
        <v>211.306250258885</v>
      </c>
    </row>
    <row r="437">
      <c r="A437" s="1">
        <f>IFERROR(__xludf.DUMMYFUNCTION("""COMPUTED_VALUE"""),44211.66666666667)</f>
        <v>44211.66667</v>
      </c>
      <c r="B437" s="2">
        <f>IFERROR(__xludf.DUMMYFUNCTION("""COMPUTED_VALUE"""),275.39)</f>
        <v>275.39</v>
      </c>
      <c r="C437" s="3">
        <v>210.532257463561</v>
      </c>
    </row>
    <row r="438">
      <c r="A438" s="1">
        <f>IFERROR(__xludf.DUMMYFUNCTION("""COMPUTED_VALUE"""),44215.66666666667)</f>
        <v>44215.66667</v>
      </c>
      <c r="B438" s="2">
        <f>IFERROR(__xludf.DUMMYFUNCTION("""COMPUTED_VALUE"""),281.52)</f>
        <v>281.52</v>
      </c>
      <c r="C438" s="3">
        <v>210.014674999849</v>
      </c>
    </row>
    <row r="439">
      <c r="A439" s="1">
        <f>IFERROR(__xludf.DUMMYFUNCTION("""COMPUTED_VALUE"""),44216.66666666667)</f>
        <v>44216.66667</v>
      </c>
      <c r="B439" s="2">
        <f>IFERROR(__xludf.DUMMYFUNCTION("""COMPUTED_VALUE"""),283.48)</f>
        <v>283.48</v>
      </c>
      <c r="C439" s="3">
        <v>209.999495732964</v>
      </c>
    </row>
    <row r="440">
      <c r="A440" s="1">
        <f>IFERROR(__xludf.DUMMYFUNCTION("""COMPUTED_VALUE"""),44217.66666666667)</f>
        <v>44217.66667</v>
      </c>
      <c r="B440" s="2">
        <f>IFERROR(__xludf.DUMMYFUNCTION("""COMPUTED_VALUE"""),281.66)</f>
        <v>281.66</v>
      </c>
      <c r="C440" s="3">
        <v>208.837717542581</v>
      </c>
    </row>
    <row r="441">
      <c r="A441" s="1">
        <f>IFERROR(__xludf.DUMMYFUNCTION("""COMPUTED_VALUE"""),44218.66666666667)</f>
        <v>44218.66667</v>
      </c>
      <c r="B441" s="2">
        <f>IFERROR(__xludf.DUMMYFUNCTION("""COMPUTED_VALUE"""),282.21)</f>
        <v>282.21</v>
      </c>
      <c r="C441" s="3">
        <v>208.06552328624</v>
      </c>
    </row>
    <row r="442">
      <c r="A442" s="1">
        <f>IFERROR(__xludf.DUMMYFUNCTION("""COMPUTED_VALUE"""),44221.66666666667)</f>
        <v>44221.66667</v>
      </c>
      <c r="B442" s="2">
        <f>IFERROR(__xludf.DUMMYFUNCTION("""COMPUTED_VALUE"""),293.6)</f>
        <v>293.6</v>
      </c>
      <c r="C442" s="3">
        <v>209.81113465952</v>
      </c>
    </row>
    <row r="443">
      <c r="A443" s="1">
        <f>IFERROR(__xludf.DUMMYFUNCTION("""COMPUTED_VALUE"""),44222.66666666667)</f>
        <v>44222.66667</v>
      </c>
      <c r="B443" s="2">
        <f>IFERROR(__xludf.DUMMYFUNCTION("""COMPUTED_VALUE"""),294.36)</f>
        <v>294.36</v>
      </c>
      <c r="C443" s="3">
        <v>209.096317669481</v>
      </c>
    </row>
    <row r="444">
      <c r="A444" s="1">
        <f>IFERROR(__xludf.DUMMYFUNCTION("""COMPUTED_VALUE"""),44223.66666666667)</f>
        <v>44223.66667</v>
      </c>
      <c r="B444" s="2">
        <f>IFERROR(__xludf.DUMMYFUNCTION("""COMPUTED_VALUE"""),288.05)</f>
        <v>288.05</v>
      </c>
      <c r="C444" s="3">
        <v>209.80347275437</v>
      </c>
    </row>
    <row r="445">
      <c r="A445" s="1">
        <f>IFERROR(__xludf.DUMMYFUNCTION("""COMPUTED_VALUE"""),44224.66666666667)</f>
        <v>44224.66667</v>
      </c>
      <c r="B445" s="2">
        <f>IFERROR(__xludf.DUMMYFUNCTION("""COMPUTED_VALUE"""),278.48)</f>
        <v>278.48</v>
      </c>
      <c r="C445" s="3">
        <v>209.463889541362</v>
      </c>
    </row>
    <row r="446">
      <c r="A446" s="1">
        <f>IFERROR(__xludf.DUMMYFUNCTION("""COMPUTED_VALUE"""),44225.66666666667)</f>
        <v>44225.66667</v>
      </c>
      <c r="B446" s="2">
        <f>IFERROR(__xludf.DUMMYFUNCTION("""COMPUTED_VALUE"""),264.51)</f>
        <v>264.51</v>
      </c>
      <c r="C446" s="3">
        <v>209.374582227317</v>
      </c>
    </row>
    <row r="447">
      <c r="A447" s="1">
        <f>IFERROR(__xludf.DUMMYFUNCTION("""COMPUTED_VALUE"""),44228.66666666667)</f>
        <v>44228.66667</v>
      </c>
      <c r="B447" s="2">
        <f>IFERROR(__xludf.DUMMYFUNCTION("""COMPUTED_VALUE"""),279.94)</f>
        <v>279.94</v>
      </c>
      <c r="C447" s="3">
        <v>213.364197126729</v>
      </c>
    </row>
    <row r="448">
      <c r="A448" s="1">
        <f>IFERROR(__xludf.DUMMYFUNCTION("""COMPUTED_VALUE"""),44229.66666666667)</f>
        <v>44229.66667</v>
      </c>
      <c r="B448" s="2">
        <f>IFERROR(__xludf.DUMMYFUNCTION("""COMPUTED_VALUE"""),290.93)</f>
        <v>290.93</v>
      </c>
      <c r="C448" s="3">
        <v>213.3677166289</v>
      </c>
    </row>
    <row r="449">
      <c r="A449" s="1">
        <f>IFERROR(__xludf.DUMMYFUNCTION("""COMPUTED_VALUE"""),44230.66666666667)</f>
        <v>44230.66667</v>
      </c>
      <c r="B449" s="2">
        <f>IFERROR(__xludf.DUMMYFUNCTION("""COMPUTED_VALUE"""),284.9)</f>
        <v>284.9</v>
      </c>
      <c r="C449" s="3">
        <v>214.730461508022</v>
      </c>
    </row>
    <row r="450">
      <c r="A450" s="1">
        <f>IFERROR(__xludf.DUMMYFUNCTION("""COMPUTED_VALUE"""),44231.66666666667)</f>
        <v>44231.66667</v>
      </c>
      <c r="B450" s="2">
        <f>IFERROR(__xludf.DUMMYFUNCTION("""COMPUTED_VALUE"""),283.33)</f>
        <v>283.33</v>
      </c>
      <c r="C450" s="3">
        <v>214.956300597056</v>
      </c>
    </row>
    <row r="451">
      <c r="A451" s="1">
        <f>IFERROR(__xludf.DUMMYFUNCTION("""COMPUTED_VALUE"""),44232.66666666667)</f>
        <v>44232.66667</v>
      </c>
      <c r="B451" s="2">
        <f>IFERROR(__xludf.DUMMYFUNCTION("""COMPUTED_VALUE"""),284.08)</f>
        <v>284.08</v>
      </c>
      <c r="C451" s="3">
        <v>215.53284227647</v>
      </c>
    </row>
    <row r="452">
      <c r="A452" s="1">
        <f>IFERROR(__xludf.DUMMYFUNCTION("""COMPUTED_VALUE"""),44235.66666666667)</f>
        <v>44235.66667</v>
      </c>
      <c r="B452" s="2">
        <f>IFERROR(__xludf.DUMMYFUNCTION("""COMPUTED_VALUE"""),287.81)</f>
        <v>287.81</v>
      </c>
      <c r="C452" s="3">
        <v>220.615387101311</v>
      </c>
    </row>
    <row r="453">
      <c r="A453" s="1">
        <f>IFERROR(__xludf.DUMMYFUNCTION("""COMPUTED_VALUE"""),44236.66666666667)</f>
        <v>44236.66667</v>
      </c>
      <c r="B453" s="2">
        <f>IFERROR(__xludf.DUMMYFUNCTION("""COMPUTED_VALUE"""),283.15)</f>
        <v>283.15</v>
      </c>
      <c r="C453" s="3">
        <v>220.630131110965</v>
      </c>
    </row>
    <row r="454">
      <c r="A454" s="1">
        <f>IFERROR(__xludf.DUMMYFUNCTION("""COMPUTED_VALUE"""),44237.66666666667)</f>
        <v>44237.66667</v>
      </c>
      <c r="B454" s="2">
        <f>IFERROR(__xludf.DUMMYFUNCTION("""COMPUTED_VALUE"""),268.27)</f>
        <v>268.27</v>
      </c>
      <c r="C454" s="3">
        <v>221.812761260644</v>
      </c>
    </row>
    <row r="455">
      <c r="A455" s="1">
        <f>IFERROR(__xludf.DUMMYFUNCTION("""COMPUTED_VALUE"""),44238.66666666667)</f>
        <v>44238.66667</v>
      </c>
      <c r="B455" s="2">
        <f>IFERROR(__xludf.DUMMYFUNCTION("""COMPUTED_VALUE"""),270.55)</f>
        <v>270.55</v>
      </c>
      <c r="C455" s="3">
        <v>221.665506125845</v>
      </c>
    </row>
    <row r="456">
      <c r="A456" s="1">
        <f>IFERROR(__xludf.DUMMYFUNCTION("""COMPUTED_VALUE"""),44239.66666666667)</f>
        <v>44239.66667</v>
      </c>
      <c r="B456" s="2">
        <f>IFERROR(__xludf.DUMMYFUNCTION("""COMPUTED_VALUE"""),272.04)</f>
        <v>272.04</v>
      </c>
      <c r="C456" s="3">
        <v>221.679360638812</v>
      </c>
    </row>
    <row r="457">
      <c r="A457" s="1">
        <f>IFERROR(__xludf.DUMMYFUNCTION("""COMPUTED_VALUE"""),44243.66666666667)</f>
        <v>44243.66667</v>
      </c>
      <c r="B457" s="2">
        <f>IFERROR(__xludf.DUMMYFUNCTION("""COMPUTED_VALUE"""),265.41)</f>
        <v>265.41</v>
      </c>
      <c r="C457" s="3">
        <v>222.868251533358</v>
      </c>
    </row>
    <row r="458">
      <c r="A458" s="1">
        <f>IFERROR(__xludf.DUMMYFUNCTION("""COMPUTED_VALUE"""),44244.66666666667)</f>
        <v>44244.66667</v>
      </c>
      <c r="B458" s="2">
        <f>IFERROR(__xludf.DUMMYFUNCTION("""COMPUTED_VALUE"""),266.05)</f>
        <v>266.05</v>
      </c>
      <c r="C458" s="3">
        <v>222.757548248421</v>
      </c>
    </row>
    <row r="459">
      <c r="A459" s="1">
        <f>IFERROR(__xludf.DUMMYFUNCTION("""COMPUTED_VALUE"""),44245.66666666667)</f>
        <v>44245.66667</v>
      </c>
      <c r="B459" s="2">
        <f>IFERROR(__xludf.DUMMYFUNCTION("""COMPUTED_VALUE"""),262.46)</f>
        <v>262.46</v>
      </c>
      <c r="C459" s="3">
        <v>221.242587450646</v>
      </c>
    </row>
    <row r="460">
      <c r="A460" s="1">
        <f>IFERROR(__xludf.DUMMYFUNCTION("""COMPUTED_VALUE"""),44246.66666666667)</f>
        <v>44246.66667</v>
      </c>
      <c r="B460" s="2">
        <f>IFERROR(__xludf.DUMMYFUNCTION("""COMPUTED_VALUE"""),260.43)</f>
        <v>260.43</v>
      </c>
      <c r="C460" s="3">
        <v>219.845133670414</v>
      </c>
    </row>
    <row r="461">
      <c r="A461" s="1">
        <f>IFERROR(__xludf.DUMMYFUNCTION("""COMPUTED_VALUE"""),44249.66666666667)</f>
        <v>44249.66667</v>
      </c>
      <c r="B461" s="2">
        <f>IFERROR(__xludf.DUMMYFUNCTION("""COMPUTED_VALUE"""),238.17)</f>
        <v>238.17</v>
      </c>
      <c r="C461" s="3">
        <v>218.039923747912</v>
      </c>
    </row>
    <row r="462">
      <c r="A462" s="1">
        <f>IFERROR(__xludf.DUMMYFUNCTION("""COMPUTED_VALUE"""),44250.66666666667)</f>
        <v>44250.66667</v>
      </c>
      <c r="B462" s="2">
        <f>IFERROR(__xludf.DUMMYFUNCTION("""COMPUTED_VALUE"""),232.95)</f>
        <v>232.95</v>
      </c>
      <c r="C462" s="3">
        <v>215.604462456127</v>
      </c>
    </row>
    <row r="463">
      <c r="A463" s="1">
        <f>IFERROR(__xludf.DUMMYFUNCTION("""COMPUTED_VALUE"""),44251.66666666667)</f>
        <v>44251.66667</v>
      </c>
      <c r="B463" s="2">
        <f>IFERROR(__xludf.DUMMYFUNCTION("""COMPUTED_VALUE"""),247.34)</f>
        <v>247.34</v>
      </c>
      <c r="C463" s="3">
        <v>214.350842995439</v>
      </c>
    </row>
    <row r="464">
      <c r="A464" s="1">
        <f>IFERROR(__xludf.DUMMYFUNCTION("""COMPUTED_VALUE"""),44252.66666666667)</f>
        <v>44252.66667</v>
      </c>
      <c r="B464" s="2">
        <f>IFERROR(__xludf.DUMMYFUNCTION("""COMPUTED_VALUE"""),227.41)</f>
        <v>227.41</v>
      </c>
      <c r="C464" s="3">
        <v>211.837508852154</v>
      </c>
    </row>
    <row r="465">
      <c r="A465" s="1">
        <f>IFERROR(__xludf.DUMMYFUNCTION("""COMPUTED_VALUE"""),44253.66666666667)</f>
        <v>44253.66667</v>
      </c>
      <c r="B465" s="2">
        <f>IFERROR(__xludf.DUMMYFUNCTION("""COMPUTED_VALUE"""),225.17)</f>
        <v>225.17</v>
      </c>
      <c r="C465" s="3">
        <v>209.610760119962</v>
      </c>
    </row>
    <row r="466">
      <c r="A466" s="1">
        <f>IFERROR(__xludf.DUMMYFUNCTION("""COMPUTED_VALUE"""),44256.66666666667)</f>
        <v>44256.66667</v>
      </c>
      <c r="B466" s="2">
        <f>IFERROR(__xludf.DUMMYFUNCTION("""COMPUTED_VALUE"""),239.48)</f>
        <v>239.48</v>
      </c>
      <c r="C466" s="3">
        <v>206.517294776456</v>
      </c>
    </row>
    <row r="467">
      <c r="A467" s="1">
        <f>IFERROR(__xludf.DUMMYFUNCTION("""COMPUTED_VALUE"""),44257.66666666667)</f>
        <v>44257.66667</v>
      </c>
      <c r="B467" s="2">
        <f>IFERROR(__xludf.DUMMYFUNCTION("""COMPUTED_VALUE"""),228.81)</f>
        <v>228.81</v>
      </c>
      <c r="C467" s="3">
        <v>204.090843192334</v>
      </c>
    </row>
    <row r="468">
      <c r="A468" s="1">
        <f>IFERROR(__xludf.DUMMYFUNCTION("""COMPUTED_VALUE"""),44258.66666666667)</f>
        <v>44258.66667</v>
      </c>
      <c r="B468" s="2">
        <f>IFERROR(__xludf.DUMMYFUNCTION("""COMPUTED_VALUE"""),217.73)</f>
        <v>217.73</v>
      </c>
      <c r="C468" s="3">
        <v>203.072143992466</v>
      </c>
    </row>
    <row r="469">
      <c r="A469" s="1">
        <f>IFERROR(__xludf.DUMMYFUNCTION("""COMPUTED_VALUE"""),44259.66666666667)</f>
        <v>44259.66667</v>
      </c>
      <c r="B469" s="2">
        <f>IFERROR(__xludf.DUMMYFUNCTION("""COMPUTED_VALUE"""),207.15)</f>
        <v>207.15</v>
      </c>
      <c r="C469" s="3">
        <v>201.015872675318</v>
      </c>
    </row>
    <row r="470">
      <c r="A470" s="1">
        <f>IFERROR(__xludf.DUMMYFUNCTION("""COMPUTED_VALUE"""),44260.66666666667)</f>
        <v>44260.66667</v>
      </c>
      <c r="B470" s="2">
        <f>IFERROR(__xludf.DUMMYFUNCTION("""COMPUTED_VALUE"""),199.32)</f>
        <v>199.32</v>
      </c>
      <c r="C470" s="3">
        <v>199.459457978293</v>
      </c>
    </row>
    <row r="471">
      <c r="A471" s="1">
        <f>IFERROR(__xludf.DUMMYFUNCTION("""COMPUTED_VALUE"""),44263.66666666667)</f>
        <v>44263.66667</v>
      </c>
      <c r="B471" s="2">
        <f>IFERROR(__xludf.DUMMYFUNCTION("""COMPUTED_VALUE"""),187.67)</f>
        <v>187.67</v>
      </c>
      <c r="C471" s="3">
        <v>199.497143218178</v>
      </c>
    </row>
    <row r="472">
      <c r="A472" s="1">
        <f>IFERROR(__xludf.DUMMYFUNCTION("""COMPUTED_VALUE"""),44264.66666666667)</f>
        <v>44264.66667</v>
      </c>
      <c r="B472" s="2">
        <f>IFERROR(__xludf.DUMMYFUNCTION("""COMPUTED_VALUE"""),224.53)</f>
        <v>224.53</v>
      </c>
      <c r="C472" s="3">
        <v>198.414055036042</v>
      </c>
    </row>
    <row r="473">
      <c r="A473" s="1">
        <f>IFERROR(__xludf.DUMMYFUNCTION("""COMPUTED_VALUE"""),44265.66666666667)</f>
        <v>44265.66667</v>
      </c>
      <c r="B473" s="2">
        <f>IFERROR(__xludf.DUMMYFUNCTION("""COMPUTED_VALUE"""),222.69)</f>
        <v>222.69</v>
      </c>
      <c r="C473" s="3">
        <v>198.843360600895</v>
      </c>
    </row>
    <row r="474">
      <c r="A474" s="1">
        <f>IFERROR(__xludf.DUMMYFUNCTION("""COMPUTED_VALUE"""),44266.66666666667)</f>
        <v>44266.66667</v>
      </c>
      <c r="B474" s="2">
        <f>IFERROR(__xludf.DUMMYFUNCTION("""COMPUTED_VALUE"""),233.2)</f>
        <v>233.2</v>
      </c>
      <c r="C474" s="3">
        <v>198.309048578264</v>
      </c>
    </row>
    <row r="475">
      <c r="A475" s="1">
        <f>IFERROR(__xludf.DUMMYFUNCTION("""COMPUTED_VALUE"""),44267.66666666667)</f>
        <v>44267.66667</v>
      </c>
      <c r="B475" s="2">
        <f>IFERROR(__xludf.DUMMYFUNCTION("""COMPUTED_VALUE"""),231.24)</f>
        <v>231.24</v>
      </c>
      <c r="C475" s="3">
        <v>198.316523537342</v>
      </c>
    </row>
    <row r="476">
      <c r="A476" s="1">
        <f>IFERROR(__xludf.DUMMYFUNCTION("""COMPUTED_VALUE"""),44270.66666666667)</f>
        <v>44270.66667</v>
      </c>
      <c r="B476" s="2">
        <f>IFERROR(__xludf.DUMMYFUNCTION("""COMPUTED_VALUE"""),235.98)</f>
        <v>235.98</v>
      </c>
      <c r="C476" s="3">
        <v>202.973790126875</v>
      </c>
    </row>
    <row r="477">
      <c r="A477" s="1">
        <f>IFERROR(__xludf.DUMMYFUNCTION("""COMPUTED_VALUE"""),44271.66666666667)</f>
        <v>44271.66667</v>
      </c>
      <c r="B477" s="2">
        <f>IFERROR(__xludf.DUMMYFUNCTION("""COMPUTED_VALUE"""),225.63)</f>
        <v>225.63</v>
      </c>
      <c r="C477" s="3">
        <v>203.302983595247</v>
      </c>
    </row>
    <row r="478">
      <c r="A478" s="1">
        <f>IFERROR(__xludf.DUMMYFUNCTION("""COMPUTED_VALUE"""),44272.66666666667)</f>
        <v>44272.66667</v>
      </c>
      <c r="B478" s="2">
        <f>IFERROR(__xludf.DUMMYFUNCTION("""COMPUTED_VALUE"""),233.94)</f>
        <v>233.94</v>
      </c>
      <c r="C478" s="3">
        <v>205.033765566272</v>
      </c>
    </row>
    <row r="479">
      <c r="A479" s="1">
        <f>IFERROR(__xludf.DUMMYFUNCTION("""COMPUTED_VALUE"""),44273.66666666667)</f>
        <v>44273.66667</v>
      </c>
      <c r="B479" s="2">
        <f>IFERROR(__xludf.DUMMYFUNCTION("""COMPUTED_VALUE"""),217.72)</f>
        <v>217.72</v>
      </c>
      <c r="C479" s="3">
        <v>205.666163674338</v>
      </c>
    </row>
    <row r="480">
      <c r="A480" s="1">
        <f>IFERROR(__xludf.DUMMYFUNCTION("""COMPUTED_VALUE"""),44274.66666666667)</f>
        <v>44274.66667</v>
      </c>
      <c r="B480" s="2">
        <f>IFERROR(__xludf.DUMMYFUNCTION("""COMPUTED_VALUE"""),218.29)</f>
        <v>218.29</v>
      </c>
      <c r="C480" s="3">
        <v>206.685235143829</v>
      </c>
    </row>
    <row r="481">
      <c r="A481" s="1">
        <f>IFERROR(__xludf.DUMMYFUNCTION("""COMPUTED_VALUE"""),44277.66666666667)</f>
        <v>44277.66667</v>
      </c>
      <c r="B481" s="2">
        <f>IFERROR(__xludf.DUMMYFUNCTION("""COMPUTED_VALUE"""),223.33)</f>
        <v>223.33</v>
      </c>
      <c r="C481" s="3">
        <v>213.305560695326</v>
      </c>
    </row>
    <row r="482">
      <c r="A482" s="1">
        <f>IFERROR(__xludf.DUMMYFUNCTION("""COMPUTED_VALUE"""),44278.66666666667)</f>
        <v>44278.66667</v>
      </c>
      <c r="B482" s="2">
        <f>IFERROR(__xludf.DUMMYFUNCTION("""COMPUTED_VALUE"""),220.72)</f>
        <v>220.72</v>
      </c>
      <c r="C482" s="3">
        <v>213.907326898149</v>
      </c>
    </row>
    <row r="483">
      <c r="A483" s="1">
        <f>IFERROR(__xludf.DUMMYFUNCTION("""COMPUTED_VALUE"""),44279.66666666667)</f>
        <v>44279.66667</v>
      </c>
      <c r="B483" s="2">
        <f>IFERROR(__xludf.DUMMYFUNCTION("""COMPUTED_VALUE"""),210.09)</f>
        <v>210.09</v>
      </c>
      <c r="C483" s="3">
        <v>215.719037598591</v>
      </c>
    </row>
    <row r="484">
      <c r="A484" s="1">
        <f>IFERROR(__xludf.DUMMYFUNCTION("""COMPUTED_VALUE"""),44280.66666666667)</f>
        <v>44280.66667</v>
      </c>
      <c r="B484" s="2">
        <f>IFERROR(__xludf.DUMMYFUNCTION("""COMPUTED_VALUE"""),213.46)</f>
        <v>213.46</v>
      </c>
      <c r="C484" s="3">
        <v>216.247003855128</v>
      </c>
    </row>
    <row r="485">
      <c r="A485" s="1">
        <f>IFERROR(__xludf.DUMMYFUNCTION("""COMPUTED_VALUE"""),44281.66666666667)</f>
        <v>44281.66667</v>
      </c>
      <c r="B485" s="2">
        <f>IFERROR(__xludf.DUMMYFUNCTION("""COMPUTED_VALUE"""),206.24)</f>
        <v>206.24</v>
      </c>
      <c r="C485" s="3">
        <v>216.986725380498</v>
      </c>
    </row>
    <row r="486">
      <c r="A486" s="1">
        <f>IFERROR(__xludf.DUMMYFUNCTION("""COMPUTED_VALUE"""),44284.66666666667)</f>
        <v>44284.66667</v>
      </c>
      <c r="B486" s="2">
        <f>IFERROR(__xludf.DUMMYFUNCTION("""COMPUTED_VALUE"""),203.76)</f>
        <v>203.76</v>
      </c>
      <c r="C486" s="3">
        <v>221.877738700377</v>
      </c>
    </row>
    <row r="487">
      <c r="A487" s="1">
        <f>IFERROR(__xludf.DUMMYFUNCTION("""COMPUTED_VALUE"""),44285.66666666667)</f>
        <v>44285.66667</v>
      </c>
      <c r="B487" s="2">
        <f>IFERROR(__xludf.DUMMYFUNCTION("""COMPUTED_VALUE"""),211.87)</f>
        <v>211.87</v>
      </c>
      <c r="C487" s="3">
        <v>221.673037418504</v>
      </c>
    </row>
    <row r="488">
      <c r="A488" s="1">
        <f>IFERROR(__xludf.DUMMYFUNCTION("""COMPUTED_VALUE"""),44286.66666666667)</f>
        <v>44286.66667</v>
      </c>
      <c r="B488" s="2">
        <f>IFERROR(__xludf.DUMMYFUNCTION("""COMPUTED_VALUE"""),222.64)</f>
        <v>222.64</v>
      </c>
      <c r="C488" s="3">
        <v>222.601837961258</v>
      </c>
    </row>
    <row r="489">
      <c r="A489" s="1">
        <f>IFERROR(__xludf.DUMMYFUNCTION("""COMPUTED_VALUE"""),44287.66666666667)</f>
        <v>44287.66667</v>
      </c>
      <c r="B489" s="2">
        <f>IFERROR(__xludf.DUMMYFUNCTION("""COMPUTED_VALUE"""),220.58)</f>
        <v>220.58</v>
      </c>
      <c r="C489" s="3">
        <v>222.195240561756</v>
      </c>
    </row>
    <row r="490">
      <c r="A490" s="1">
        <f>IFERROR(__xludf.DUMMYFUNCTION("""COMPUTED_VALUE"""),44291.66666666667)</f>
        <v>44291.66667</v>
      </c>
      <c r="B490" s="2">
        <f>IFERROR(__xludf.DUMMYFUNCTION("""COMPUTED_VALUE"""),230.35)</f>
        <v>230.35</v>
      </c>
      <c r="C490" s="3">
        <v>224.058228158335</v>
      </c>
    </row>
    <row r="491">
      <c r="A491" s="1">
        <f>IFERROR(__xludf.DUMMYFUNCTION("""COMPUTED_VALUE"""),44292.66666666667)</f>
        <v>44292.66667</v>
      </c>
      <c r="B491" s="2">
        <f>IFERROR(__xludf.DUMMYFUNCTION("""COMPUTED_VALUE"""),230.54)</f>
        <v>230.54</v>
      </c>
      <c r="C491" s="3">
        <v>223.014950705829</v>
      </c>
    </row>
    <row r="492">
      <c r="A492" s="1">
        <f>IFERROR(__xludf.DUMMYFUNCTION("""COMPUTED_VALUE"""),44293.66666666667)</f>
        <v>44293.66667</v>
      </c>
      <c r="B492" s="2">
        <f>IFERROR(__xludf.DUMMYFUNCTION("""COMPUTED_VALUE"""),223.66)</f>
        <v>223.66</v>
      </c>
      <c r="C492" s="3">
        <v>223.183302419218</v>
      </c>
    </row>
    <row r="493">
      <c r="A493" s="1">
        <f>IFERROR(__xludf.DUMMYFUNCTION("""COMPUTED_VALUE"""),44294.66666666667)</f>
        <v>44294.66667</v>
      </c>
      <c r="B493" s="2">
        <f>IFERROR(__xludf.DUMMYFUNCTION("""COMPUTED_VALUE"""),227.93)</f>
        <v>227.93</v>
      </c>
      <c r="C493" s="3">
        <v>222.107774658738</v>
      </c>
    </row>
    <row r="494">
      <c r="A494" s="1">
        <f>IFERROR(__xludf.DUMMYFUNCTION("""COMPUTED_VALUE"""),44295.66666666667)</f>
        <v>44295.66667</v>
      </c>
      <c r="B494" s="2">
        <f>IFERROR(__xludf.DUMMYFUNCTION("""COMPUTED_VALUE"""),225.67)</f>
        <v>225.67</v>
      </c>
      <c r="C494" s="3">
        <v>221.318836796635</v>
      </c>
    </row>
    <row r="495">
      <c r="A495" s="1">
        <f>IFERROR(__xludf.DUMMYFUNCTION("""COMPUTED_VALUE"""),44298.66666666667)</f>
        <v>44298.66667</v>
      </c>
      <c r="B495" s="2">
        <f>IFERROR(__xludf.DUMMYFUNCTION("""COMPUTED_VALUE"""),233.99)</f>
        <v>233.99</v>
      </c>
      <c r="C495" s="3">
        <v>222.357912239533</v>
      </c>
    </row>
    <row r="496">
      <c r="A496" s="1">
        <f>IFERROR(__xludf.DUMMYFUNCTION("""COMPUTED_VALUE"""),44299.66666666667)</f>
        <v>44299.66667</v>
      </c>
      <c r="B496" s="2">
        <f>IFERROR(__xludf.DUMMYFUNCTION("""COMPUTED_VALUE"""),254.11)</f>
        <v>254.11</v>
      </c>
      <c r="C496" s="3">
        <v>221.183220887268</v>
      </c>
    </row>
    <row r="497">
      <c r="A497" s="1">
        <f>IFERROR(__xludf.DUMMYFUNCTION("""COMPUTED_VALUE"""),44300.66666666667)</f>
        <v>44300.66667</v>
      </c>
      <c r="B497" s="2">
        <f>IFERROR(__xludf.DUMMYFUNCTION("""COMPUTED_VALUE"""),244.08)</f>
        <v>244.08</v>
      </c>
      <c r="C497" s="3">
        <v>221.319512632576</v>
      </c>
    </row>
    <row r="498">
      <c r="A498" s="1">
        <f>IFERROR(__xludf.DUMMYFUNCTION("""COMPUTED_VALUE"""),44301.66666666667)</f>
        <v>44301.66667</v>
      </c>
      <c r="B498" s="2">
        <f>IFERROR(__xludf.DUMMYFUNCTION("""COMPUTED_VALUE"""),246.28)</f>
        <v>246.28</v>
      </c>
      <c r="C498" s="3">
        <v>220.30136869488</v>
      </c>
    </row>
    <row r="499">
      <c r="A499" s="1">
        <f>IFERROR(__xludf.DUMMYFUNCTION("""COMPUTED_VALUE"""),44302.66666666667)</f>
        <v>44302.66667</v>
      </c>
      <c r="B499" s="2">
        <f>IFERROR(__xludf.DUMMYFUNCTION("""COMPUTED_VALUE"""),246.59)</f>
        <v>246.59</v>
      </c>
      <c r="C499" s="3">
        <v>219.646945967813</v>
      </c>
    </row>
    <row r="500">
      <c r="A500" s="1">
        <f>IFERROR(__xludf.DUMMYFUNCTION("""COMPUTED_VALUE"""),44305.66666666667)</f>
        <v>44305.66667</v>
      </c>
      <c r="B500" s="2">
        <f>IFERROR(__xludf.DUMMYFUNCTION("""COMPUTED_VALUE"""),238.21)</f>
        <v>238.21</v>
      </c>
      <c r="C500" s="3">
        <v>221.403299878148</v>
      </c>
    </row>
    <row r="501">
      <c r="A501" s="1">
        <f>IFERROR(__xludf.DUMMYFUNCTION("""COMPUTED_VALUE"""),44306.66666666667)</f>
        <v>44306.66667</v>
      </c>
      <c r="B501" s="2">
        <f>IFERROR(__xludf.DUMMYFUNCTION("""COMPUTED_VALUE"""),239.66)</f>
        <v>239.66</v>
      </c>
      <c r="C501" s="3">
        <v>220.517672738412</v>
      </c>
    </row>
    <row r="502">
      <c r="A502" s="1">
        <f>IFERROR(__xludf.DUMMYFUNCTION("""COMPUTED_VALUE"""),44307.66666666667)</f>
        <v>44307.66667</v>
      </c>
      <c r="B502" s="2">
        <f>IFERROR(__xludf.DUMMYFUNCTION("""COMPUTED_VALUE"""),248.04)</f>
        <v>248.04</v>
      </c>
      <c r="C502" s="3">
        <v>220.940190548356</v>
      </c>
    </row>
    <row r="503">
      <c r="A503" s="1">
        <f>IFERROR(__xludf.DUMMYFUNCTION("""COMPUTED_VALUE"""),44308.66666666667)</f>
        <v>44308.66667</v>
      </c>
      <c r="B503" s="2">
        <f>IFERROR(__xludf.DUMMYFUNCTION("""COMPUTED_VALUE"""),239.9)</f>
        <v>239.9</v>
      </c>
      <c r="C503" s="3">
        <v>220.189579437048</v>
      </c>
    </row>
    <row r="504">
      <c r="A504" s="1">
        <f>IFERROR(__xludf.DUMMYFUNCTION("""COMPUTED_VALUE"""),44309.66666666667)</f>
        <v>44309.66667</v>
      </c>
      <c r="B504" s="2">
        <f>IFERROR(__xludf.DUMMYFUNCTION("""COMPUTED_VALUE"""),243.13)</f>
        <v>243.13</v>
      </c>
      <c r="C504" s="3">
        <v>219.769421418999</v>
      </c>
    </row>
    <row r="505">
      <c r="A505" s="1">
        <f>IFERROR(__xludf.DUMMYFUNCTION("""COMPUTED_VALUE"""),44312.66666666667)</f>
        <v>44312.66667</v>
      </c>
      <c r="B505" s="2">
        <f>IFERROR(__xludf.DUMMYFUNCTION("""COMPUTED_VALUE"""),246.07)</f>
        <v>246.07</v>
      </c>
      <c r="C505" s="3">
        <v>221.911539329642</v>
      </c>
    </row>
    <row r="506">
      <c r="A506" s="1">
        <f>IFERROR(__xludf.DUMMYFUNCTION("""COMPUTED_VALUE"""),44313.66666666667)</f>
        <v>44313.66667</v>
      </c>
      <c r="B506" s="2">
        <f>IFERROR(__xludf.DUMMYFUNCTION("""COMPUTED_VALUE"""),234.91)</f>
        <v>234.91</v>
      </c>
      <c r="C506" s="3">
        <v>221.021537571697</v>
      </c>
    </row>
    <row r="507">
      <c r="A507" s="1">
        <f>IFERROR(__xludf.DUMMYFUNCTION("""COMPUTED_VALUE"""),44314.66666666667)</f>
        <v>44314.66667</v>
      </c>
      <c r="B507" s="2">
        <f>IFERROR(__xludf.DUMMYFUNCTION("""COMPUTED_VALUE"""),231.47)</f>
        <v>231.47</v>
      </c>
      <c r="C507" s="3">
        <v>221.366320566925</v>
      </c>
    </row>
    <row r="508">
      <c r="A508" s="1">
        <f>IFERROR(__xludf.DUMMYFUNCTION("""COMPUTED_VALUE"""),44315.66666666667)</f>
        <v>44315.66667</v>
      </c>
      <c r="B508" s="2">
        <f>IFERROR(__xludf.DUMMYFUNCTION("""COMPUTED_VALUE"""),225.67)</f>
        <v>225.67</v>
      </c>
      <c r="C508" s="3">
        <v>220.46480430219</v>
      </c>
    </row>
    <row r="509">
      <c r="A509" s="1">
        <f>IFERROR(__xludf.DUMMYFUNCTION("""COMPUTED_VALUE"""),44316.66666666667)</f>
        <v>44316.66667</v>
      </c>
      <c r="B509" s="2">
        <f>IFERROR(__xludf.DUMMYFUNCTION("""COMPUTED_VALUE"""),236.48)</f>
        <v>236.48</v>
      </c>
      <c r="C509" s="3">
        <v>219.823642437987</v>
      </c>
    </row>
    <row r="510">
      <c r="A510" s="1">
        <f>IFERROR(__xludf.DUMMYFUNCTION("""COMPUTED_VALUE"""),44319.66666666667)</f>
        <v>44319.66667</v>
      </c>
      <c r="B510" s="2">
        <f>IFERROR(__xludf.DUMMYFUNCTION("""COMPUTED_VALUE"""),228.3)</f>
        <v>228.3</v>
      </c>
      <c r="C510" s="3">
        <v>220.953058618279</v>
      </c>
    </row>
    <row r="511">
      <c r="A511" s="1">
        <f>IFERROR(__xludf.DUMMYFUNCTION("""COMPUTED_VALUE"""),44320.66666666667)</f>
        <v>44320.66667</v>
      </c>
      <c r="B511" s="2">
        <f>IFERROR(__xludf.DUMMYFUNCTION("""COMPUTED_VALUE"""),224.53)</f>
        <v>224.53</v>
      </c>
      <c r="C511" s="3">
        <v>219.644191212961</v>
      </c>
    </row>
    <row r="512">
      <c r="A512" s="1">
        <f>IFERROR(__xludf.DUMMYFUNCTION("""COMPUTED_VALUE"""),44321.66666666667)</f>
        <v>44321.66667</v>
      </c>
      <c r="B512" s="2">
        <f>IFERROR(__xludf.DUMMYFUNCTION("""COMPUTED_VALUE"""),223.65)</f>
        <v>223.65</v>
      </c>
      <c r="C512" s="3">
        <v>219.551701814758</v>
      </c>
    </row>
    <row r="513">
      <c r="A513" s="1">
        <f>IFERROR(__xludf.DUMMYFUNCTION("""COMPUTED_VALUE"""),44322.66666666667)</f>
        <v>44322.66667</v>
      </c>
      <c r="B513" s="2">
        <f>IFERROR(__xludf.DUMMYFUNCTION("""COMPUTED_VALUE"""),221.18)</f>
        <v>221.18</v>
      </c>
      <c r="C513" s="3">
        <v>218.209740225318</v>
      </c>
    </row>
    <row r="514">
      <c r="A514" s="1">
        <f>IFERROR(__xludf.DUMMYFUNCTION("""COMPUTED_VALUE"""),44323.66666666667)</f>
        <v>44323.66667</v>
      </c>
      <c r="B514" s="2">
        <f>IFERROR(__xludf.DUMMYFUNCTION("""COMPUTED_VALUE"""),224.12)</f>
        <v>224.12</v>
      </c>
      <c r="C514" s="3">
        <v>217.140795920048</v>
      </c>
    </row>
    <row r="515">
      <c r="A515" s="1">
        <f>IFERROR(__xludf.DUMMYFUNCTION("""COMPUTED_VALUE"""),44326.66666666667)</f>
        <v>44326.66667</v>
      </c>
      <c r="B515" s="2">
        <f>IFERROR(__xludf.DUMMYFUNCTION("""COMPUTED_VALUE"""),209.68)</f>
        <v>209.68</v>
      </c>
      <c r="C515" s="3">
        <v>217.219820145399</v>
      </c>
    </row>
    <row r="516">
      <c r="A516" s="1">
        <f>IFERROR(__xludf.DUMMYFUNCTION("""COMPUTED_VALUE"""),44327.66666666667)</f>
        <v>44327.66667</v>
      </c>
      <c r="B516" s="2">
        <f>IFERROR(__xludf.DUMMYFUNCTION("""COMPUTED_VALUE"""),205.73)</f>
        <v>205.73</v>
      </c>
      <c r="C516" s="3">
        <v>215.686939014861</v>
      </c>
    </row>
    <row r="517">
      <c r="A517" s="1">
        <f>IFERROR(__xludf.DUMMYFUNCTION("""COMPUTED_VALUE"""),44328.66666666667)</f>
        <v>44328.66667</v>
      </c>
      <c r="B517" s="2">
        <f>IFERROR(__xludf.DUMMYFUNCTION("""COMPUTED_VALUE"""),196.63)</f>
        <v>196.63</v>
      </c>
      <c r="C517" s="3">
        <v>215.454216856467</v>
      </c>
    </row>
    <row r="518">
      <c r="A518" s="1">
        <f>IFERROR(__xludf.DUMMYFUNCTION("""COMPUTED_VALUE"""),44329.66666666667)</f>
        <v>44329.66667</v>
      </c>
      <c r="B518" s="2">
        <f>IFERROR(__xludf.DUMMYFUNCTION("""COMPUTED_VALUE"""),190.56)</f>
        <v>190.56</v>
      </c>
      <c r="C518" s="3">
        <v>214.065303241159</v>
      </c>
    </row>
    <row r="519">
      <c r="A519" s="1">
        <f>IFERROR(__xludf.DUMMYFUNCTION("""COMPUTED_VALUE"""),44330.66666666667)</f>
        <v>44330.66667</v>
      </c>
      <c r="B519" s="2">
        <f>IFERROR(__xludf.DUMMYFUNCTION("""COMPUTED_VALUE"""),196.58)</f>
        <v>196.58</v>
      </c>
      <c r="C519" s="3">
        <v>213.04978744208</v>
      </c>
    </row>
    <row r="520">
      <c r="A520" s="1">
        <f>IFERROR(__xludf.DUMMYFUNCTION("""COMPUTED_VALUE"""),44333.66666666667)</f>
        <v>44333.66667</v>
      </c>
      <c r="B520" s="2">
        <f>IFERROR(__xludf.DUMMYFUNCTION("""COMPUTED_VALUE"""),192.28)</f>
        <v>192.28</v>
      </c>
      <c r="C520" s="3">
        <v>213.922215595361</v>
      </c>
    </row>
    <row r="521">
      <c r="A521" s="1">
        <f>IFERROR(__xludf.DUMMYFUNCTION("""COMPUTED_VALUE"""),44334.66666666667)</f>
        <v>44334.66667</v>
      </c>
      <c r="B521" s="2">
        <f>IFERROR(__xludf.DUMMYFUNCTION("""COMPUTED_VALUE"""),192.62)</f>
        <v>192.62</v>
      </c>
      <c r="C521" s="3">
        <v>212.861091761827</v>
      </c>
    </row>
    <row r="522">
      <c r="A522" s="1">
        <f>IFERROR(__xludf.DUMMYFUNCTION("""COMPUTED_VALUE"""),44335.66666666667)</f>
        <v>44335.66667</v>
      </c>
      <c r="B522" s="2">
        <f>IFERROR(__xludf.DUMMYFUNCTION("""COMPUTED_VALUE"""),187.82)</f>
        <v>187.82</v>
      </c>
      <c r="C522" s="3">
        <v>213.194946548821</v>
      </c>
    </row>
    <row r="523">
      <c r="A523" s="1">
        <f>IFERROR(__xludf.DUMMYFUNCTION("""COMPUTED_VALUE"""),44336.66666666667)</f>
        <v>44336.66667</v>
      </c>
      <c r="B523" s="2">
        <f>IFERROR(__xludf.DUMMYFUNCTION("""COMPUTED_VALUE"""),195.59)</f>
        <v>195.59</v>
      </c>
      <c r="C523" s="3">
        <v>212.458229929578</v>
      </c>
    </row>
    <row r="524">
      <c r="A524" s="1">
        <f>IFERROR(__xludf.DUMMYFUNCTION("""COMPUTED_VALUE"""),44337.66666666667)</f>
        <v>44337.66667</v>
      </c>
      <c r="B524" s="2">
        <f>IFERROR(__xludf.DUMMYFUNCTION("""COMPUTED_VALUE"""),193.63)</f>
        <v>193.63</v>
      </c>
      <c r="C524" s="3">
        <v>212.169046747581</v>
      </c>
    </row>
    <row r="525">
      <c r="A525" s="1">
        <f>IFERROR(__xludf.DUMMYFUNCTION("""COMPUTED_VALUE"""),44340.66666666667)</f>
        <v>44340.66667</v>
      </c>
      <c r="B525" s="2">
        <f>IFERROR(__xludf.DUMMYFUNCTION("""COMPUTED_VALUE"""),202.15)</f>
        <v>202.15</v>
      </c>
      <c r="C525" s="3">
        <v>215.523189305669</v>
      </c>
    </row>
    <row r="526">
      <c r="A526" s="1">
        <f>IFERROR(__xludf.DUMMYFUNCTION("""COMPUTED_VALUE"""),44341.66666666667)</f>
        <v>44341.66667</v>
      </c>
      <c r="B526" s="2">
        <f>IFERROR(__xludf.DUMMYFUNCTION("""COMPUTED_VALUE"""),201.56)</f>
        <v>201.56</v>
      </c>
      <c r="C526" s="3">
        <v>215.336550665281</v>
      </c>
    </row>
    <row r="527">
      <c r="A527" s="1">
        <f>IFERROR(__xludf.DUMMYFUNCTION("""COMPUTED_VALUE"""),44342.66666666667)</f>
        <v>44342.66667</v>
      </c>
      <c r="B527" s="2">
        <f>IFERROR(__xludf.DUMMYFUNCTION("""COMPUTED_VALUE"""),206.38)</f>
        <v>206.38</v>
      </c>
      <c r="C527" s="3">
        <v>216.540087739037</v>
      </c>
    </row>
    <row r="528">
      <c r="A528" s="1">
        <f>IFERROR(__xludf.DUMMYFUNCTION("""COMPUTED_VALUE"""),44343.66666666667)</f>
        <v>44343.66667</v>
      </c>
      <c r="B528" s="2">
        <f>IFERROR(__xludf.DUMMYFUNCTION("""COMPUTED_VALUE"""),210.28)</f>
        <v>210.28</v>
      </c>
      <c r="C528" s="3">
        <v>216.651210571087</v>
      </c>
    </row>
    <row r="529">
      <c r="A529" s="1">
        <f>IFERROR(__xludf.DUMMYFUNCTION("""COMPUTED_VALUE"""),44344.66666666667)</f>
        <v>44344.66667</v>
      </c>
      <c r="B529" s="2">
        <f>IFERROR(__xludf.DUMMYFUNCTION("""COMPUTED_VALUE"""),208.41)</f>
        <v>208.41</v>
      </c>
      <c r="C529" s="3">
        <v>217.171641551212</v>
      </c>
    </row>
    <row r="530">
      <c r="A530" s="1">
        <f>IFERROR(__xludf.DUMMYFUNCTION("""COMPUTED_VALUE"""),44348.66666666667)</f>
        <v>44348.66667</v>
      </c>
      <c r="B530" s="2">
        <f>IFERROR(__xludf.DUMMYFUNCTION("""COMPUTED_VALUE"""),207.97)</f>
        <v>207.97</v>
      </c>
      <c r="C530" s="3">
        <v>222.914126933234</v>
      </c>
    </row>
    <row r="531">
      <c r="A531" s="1">
        <f>IFERROR(__xludf.DUMMYFUNCTION("""COMPUTED_VALUE"""),44349.66666666667)</f>
        <v>44349.66667</v>
      </c>
      <c r="B531" s="2">
        <f>IFERROR(__xludf.DUMMYFUNCTION("""COMPUTED_VALUE"""),201.71)</f>
        <v>201.71</v>
      </c>
      <c r="C531" s="3">
        <v>224.541770549176</v>
      </c>
    </row>
    <row r="532">
      <c r="A532" s="1">
        <f>IFERROR(__xludf.DUMMYFUNCTION("""COMPUTED_VALUE"""),44350.66666666667)</f>
        <v>44350.66667</v>
      </c>
      <c r="B532" s="2">
        <f>IFERROR(__xludf.DUMMYFUNCTION("""COMPUTED_VALUE"""),190.95)</f>
        <v>190.95</v>
      </c>
      <c r="C532" s="3">
        <v>224.975738251285</v>
      </c>
    </row>
    <row r="533">
      <c r="A533" s="1">
        <f>IFERROR(__xludf.DUMMYFUNCTION("""COMPUTED_VALUE"""),44351.66666666667)</f>
        <v>44351.66667</v>
      </c>
      <c r="B533" s="2">
        <f>IFERROR(__xludf.DUMMYFUNCTION("""COMPUTED_VALUE"""),199.68)</f>
        <v>199.68</v>
      </c>
      <c r="C533" s="3">
        <v>225.715560020792</v>
      </c>
    </row>
    <row r="534">
      <c r="A534" s="1">
        <f>IFERROR(__xludf.DUMMYFUNCTION("""COMPUTED_VALUE"""),44354.66666666667)</f>
        <v>44354.66667</v>
      </c>
      <c r="B534" s="2">
        <f>IFERROR(__xludf.DUMMYFUNCTION("""COMPUTED_VALUE"""),201.71)</f>
        <v>201.71</v>
      </c>
      <c r="C534" s="3">
        <v>231.179202599178</v>
      </c>
    </row>
    <row r="535">
      <c r="A535" s="1">
        <f>IFERROR(__xludf.DUMMYFUNCTION("""COMPUTED_VALUE"""),44355.66666666667)</f>
        <v>44355.66667</v>
      </c>
      <c r="B535" s="2">
        <f>IFERROR(__xludf.DUMMYFUNCTION("""COMPUTED_VALUE"""),201.2)</f>
        <v>201.2</v>
      </c>
      <c r="C535" s="3">
        <v>231.348690279719</v>
      </c>
    </row>
    <row r="536">
      <c r="A536" s="1">
        <f>IFERROR(__xludf.DUMMYFUNCTION("""COMPUTED_VALUE"""),44356.66666666667)</f>
        <v>44356.66667</v>
      </c>
      <c r="B536" s="2">
        <f>IFERROR(__xludf.DUMMYFUNCTION("""COMPUTED_VALUE"""),199.59)</f>
        <v>199.59</v>
      </c>
      <c r="C536" s="3">
        <v>232.735220324866</v>
      </c>
    </row>
    <row r="537">
      <c r="A537" s="1">
        <f>IFERROR(__xludf.DUMMYFUNCTION("""COMPUTED_VALUE"""),44357.66666666667)</f>
        <v>44357.66667</v>
      </c>
      <c r="B537" s="2">
        <f>IFERROR(__xludf.DUMMYFUNCTION("""COMPUTED_VALUE"""),203.37)</f>
        <v>203.37</v>
      </c>
      <c r="C537" s="3">
        <v>232.862889439196</v>
      </c>
    </row>
    <row r="538">
      <c r="A538" s="1">
        <f>IFERROR(__xludf.DUMMYFUNCTION("""COMPUTED_VALUE"""),44358.66666666667)</f>
        <v>44358.66667</v>
      </c>
      <c r="B538" s="2">
        <f>IFERROR(__xludf.DUMMYFUNCTION("""COMPUTED_VALUE"""),203.3)</f>
        <v>203.3</v>
      </c>
      <c r="C538" s="3">
        <v>233.244093434587</v>
      </c>
    </row>
    <row r="539">
      <c r="A539" s="1">
        <f>IFERROR(__xludf.DUMMYFUNCTION("""COMPUTED_VALUE"""),44361.66666666667)</f>
        <v>44361.66667</v>
      </c>
      <c r="B539" s="2">
        <f>IFERROR(__xludf.DUMMYFUNCTION("""COMPUTED_VALUE"""),205.9)</f>
        <v>205.9</v>
      </c>
      <c r="C539" s="3">
        <v>237.45841471799</v>
      </c>
    </row>
    <row r="540">
      <c r="A540" s="1">
        <f>IFERROR(__xludf.DUMMYFUNCTION("""COMPUTED_VALUE"""),44362.66666666667)</f>
        <v>44362.66667</v>
      </c>
      <c r="B540" s="2">
        <f>IFERROR(__xludf.DUMMYFUNCTION("""COMPUTED_VALUE"""),199.79)</f>
        <v>199.79</v>
      </c>
      <c r="C540" s="3">
        <v>237.20149384392</v>
      </c>
    </row>
    <row r="541">
      <c r="A541" s="1">
        <f>IFERROR(__xludf.DUMMYFUNCTION("""COMPUTED_VALUE"""),44363.66666666667)</f>
        <v>44363.66667</v>
      </c>
      <c r="B541" s="2">
        <f>IFERROR(__xludf.DUMMYFUNCTION("""COMPUTED_VALUE"""),201.62)</f>
        <v>201.62</v>
      </c>
      <c r="C541" s="3">
        <v>238.179644029665</v>
      </c>
    </row>
    <row r="542">
      <c r="A542" s="1">
        <f>IFERROR(__xludf.DUMMYFUNCTION("""COMPUTED_VALUE"""),44364.66666666667)</f>
        <v>44364.66667</v>
      </c>
      <c r="B542" s="2">
        <f>IFERROR(__xludf.DUMMYFUNCTION("""COMPUTED_VALUE"""),205.53)</f>
        <v>205.53</v>
      </c>
      <c r="C542" s="3">
        <v>237.929410254432</v>
      </c>
    </row>
    <row r="543">
      <c r="A543" s="1">
        <f>IFERROR(__xludf.DUMMYFUNCTION("""COMPUTED_VALUE"""),44365.66666666667)</f>
        <v>44365.66667</v>
      </c>
      <c r="B543" s="2">
        <f>IFERROR(__xludf.DUMMYFUNCTION("""COMPUTED_VALUE"""),207.77)</f>
        <v>207.77</v>
      </c>
      <c r="C543" s="3">
        <v>237.974249501386</v>
      </c>
    </row>
    <row r="544">
      <c r="A544" s="1">
        <f>IFERROR(__xludf.DUMMYFUNCTION("""COMPUTED_VALUE"""),44368.66666666667)</f>
        <v>44368.66667</v>
      </c>
      <c r="B544" s="2">
        <f>IFERROR(__xludf.DUMMYFUNCTION("""COMPUTED_VALUE"""),206.94)</f>
        <v>206.94</v>
      </c>
      <c r="C544" s="3">
        <v>241.512928334366</v>
      </c>
    </row>
    <row r="545">
      <c r="A545" s="1">
        <f>IFERROR(__xludf.DUMMYFUNCTION("""COMPUTED_VALUE"""),44369.66666666667)</f>
        <v>44369.66667</v>
      </c>
      <c r="B545" s="2">
        <f>IFERROR(__xludf.DUMMYFUNCTION("""COMPUTED_VALUE"""),207.9)</f>
        <v>207.9</v>
      </c>
      <c r="C545" s="3">
        <v>241.159899609442</v>
      </c>
    </row>
    <row r="546">
      <c r="A546" s="1">
        <f>IFERROR(__xludf.DUMMYFUNCTION("""COMPUTED_VALUE"""),44370.66666666667)</f>
        <v>44370.66667</v>
      </c>
      <c r="B546" s="2">
        <f>IFERROR(__xludf.DUMMYFUNCTION("""COMPUTED_VALUE"""),218.86)</f>
        <v>218.86</v>
      </c>
      <c r="C546" s="3">
        <v>242.110047911477</v>
      </c>
    </row>
    <row r="547">
      <c r="A547" s="1">
        <f>IFERROR(__xludf.DUMMYFUNCTION("""COMPUTED_VALUE"""),44371.66666666667)</f>
        <v>44371.66667</v>
      </c>
      <c r="B547" s="2">
        <f>IFERROR(__xludf.DUMMYFUNCTION("""COMPUTED_VALUE"""),226.61)</f>
        <v>226.61</v>
      </c>
      <c r="C547" s="3">
        <v>241.898759691698</v>
      </c>
    </row>
    <row r="548">
      <c r="A548" s="1">
        <f>IFERROR(__xludf.DUMMYFUNCTION("""COMPUTED_VALUE"""),44372.66666666667)</f>
        <v>44372.66667</v>
      </c>
      <c r="B548" s="2">
        <f>IFERROR(__xludf.DUMMYFUNCTION("""COMPUTED_VALUE"""),223.96)</f>
        <v>223.96</v>
      </c>
      <c r="C548" s="3">
        <v>242.046237950211</v>
      </c>
    </row>
    <row r="549">
      <c r="A549" s="1">
        <f>IFERROR(__xludf.DUMMYFUNCTION("""COMPUTED_VALUE"""),44375.66666666667)</f>
        <v>44375.66667</v>
      </c>
      <c r="B549" s="2">
        <f>IFERROR(__xludf.DUMMYFUNCTION("""COMPUTED_VALUE"""),229.57)</f>
        <v>229.57</v>
      </c>
      <c r="C549" s="3">
        <v>246.214582572551</v>
      </c>
    </row>
    <row r="550">
      <c r="A550" s="1">
        <f>IFERROR(__xludf.DUMMYFUNCTION("""COMPUTED_VALUE"""),44376.66666666667)</f>
        <v>44376.66667</v>
      </c>
      <c r="B550" s="2">
        <f>IFERROR(__xludf.DUMMYFUNCTION("""COMPUTED_VALUE"""),226.92)</f>
        <v>226.92</v>
      </c>
      <c r="C550" s="3">
        <v>246.150919471569</v>
      </c>
    </row>
    <row r="551">
      <c r="A551" s="1">
        <f>IFERROR(__xludf.DUMMYFUNCTION("""COMPUTED_VALUE"""),44377.66666666667)</f>
        <v>44377.66667</v>
      </c>
      <c r="B551" s="2">
        <f>IFERROR(__xludf.DUMMYFUNCTION("""COMPUTED_VALUE"""),226.57)</f>
        <v>226.57</v>
      </c>
      <c r="C551" s="3">
        <v>247.413481263916</v>
      </c>
    </row>
    <row r="552">
      <c r="A552" s="1">
        <f>IFERROR(__xludf.DUMMYFUNCTION("""COMPUTED_VALUE"""),44378.66666666667)</f>
        <v>44378.66667</v>
      </c>
      <c r="B552" s="2">
        <f>IFERROR(__xludf.DUMMYFUNCTION("""COMPUTED_VALUE"""),225.97)</f>
        <v>225.97</v>
      </c>
      <c r="C552" s="3">
        <v>247.526642526132</v>
      </c>
    </row>
    <row r="553">
      <c r="A553" s="1">
        <f>IFERROR(__xludf.DUMMYFUNCTION("""COMPUTED_VALUE"""),44379.66666666667)</f>
        <v>44379.66667</v>
      </c>
      <c r="B553" s="2">
        <f>IFERROR(__xludf.DUMMYFUNCTION("""COMPUTED_VALUE"""),226.3)</f>
        <v>226.3</v>
      </c>
      <c r="C553" s="3">
        <v>247.999412818153</v>
      </c>
    </row>
    <row r="554">
      <c r="A554" s="1">
        <f>IFERROR(__xludf.DUMMYFUNCTION("""COMPUTED_VALUE"""),44383.66666666667)</f>
        <v>44383.66667</v>
      </c>
      <c r="B554" s="2">
        <f>IFERROR(__xludf.DUMMYFUNCTION("""COMPUTED_VALUE"""),219.86)</f>
        <v>219.86</v>
      </c>
      <c r="C554" s="3">
        <v>253.202399802487</v>
      </c>
    </row>
    <row r="555">
      <c r="A555" s="1">
        <f>IFERROR(__xludf.DUMMYFUNCTION("""COMPUTED_VALUE"""),44384.66666666667)</f>
        <v>44384.66667</v>
      </c>
      <c r="B555" s="2">
        <f>IFERROR(__xludf.DUMMYFUNCTION("""COMPUTED_VALUE"""),214.88)</f>
        <v>214.88</v>
      </c>
      <c r="C555" s="3">
        <v>254.643434155954</v>
      </c>
    </row>
    <row r="556">
      <c r="A556" s="1">
        <f>IFERROR(__xludf.DUMMYFUNCTION("""COMPUTED_VALUE"""),44385.66666666667)</f>
        <v>44385.66667</v>
      </c>
      <c r="B556" s="2">
        <f>IFERROR(__xludf.DUMMYFUNCTION("""COMPUTED_VALUE"""),217.6)</f>
        <v>217.6</v>
      </c>
      <c r="C556" s="3">
        <v>254.882876836765</v>
      </c>
    </row>
    <row r="557">
      <c r="A557" s="1">
        <f>IFERROR(__xludf.DUMMYFUNCTION("""COMPUTED_VALUE"""),44386.66666666667)</f>
        <v>44386.66667</v>
      </c>
      <c r="B557" s="2">
        <f>IFERROR(__xludf.DUMMYFUNCTION("""COMPUTED_VALUE"""),218.98)</f>
        <v>218.98</v>
      </c>
      <c r="C557" s="3">
        <v>255.425596979569</v>
      </c>
    </row>
    <row r="558">
      <c r="A558" s="1">
        <f>IFERROR(__xludf.DUMMYFUNCTION("""COMPUTED_VALUE"""),44389.66666666667)</f>
        <v>44389.66667</v>
      </c>
      <c r="B558" s="2">
        <f>IFERROR(__xludf.DUMMYFUNCTION("""COMPUTED_VALUE"""),228.57)</f>
        <v>228.57</v>
      </c>
      <c r="C558" s="3">
        <v>260.324112869411</v>
      </c>
    </row>
    <row r="559">
      <c r="A559" s="1">
        <f>IFERROR(__xludf.DUMMYFUNCTION("""COMPUTED_VALUE"""),44390.66666666667)</f>
        <v>44390.66667</v>
      </c>
      <c r="B559" s="2">
        <f>IFERROR(__xludf.DUMMYFUNCTION("""COMPUTED_VALUE"""),222.85)</f>
        <v>222.85</v>
      </c>
      <c r="C559" s="3">
        <v>260.323523193439</v>
      </c>
    </row>
    <row r="560">
      <c r="A560" s="1">
        <f>IFERROR(__xludf.DUMMYFUNCTION("""COMPUTED_VALUE"""),44391.66666666667)</f>
        <v>44391.66667</v>
      </c>
      <c r="B560" s="2">
        <f>IFERROR(__xludf.DUMMYFUNCTION("""COMPUTED_VALUE"""),217.79)</f>
        <v>217.79</v>
      </c>
      <c r="C560" s="3">
        <v>261.551662838166</v>
      </c>
    </row>
    <row r="561">
      <c r="A561" s="1">
        <f>IFERROR(__xludf.DUMMYFUNCTION("""COMPUTED_VALUE"""),44392.66666666667)</f>
        <v>44392.66667</v>
      </c>
      <c r="B561" s="2">
        <f>IFERROR(__xludf.DUMMYFUNCTION("""COMPUTED_VALUE"""),216.87)</f>
        <v>216.87</v>
      </c>
      <c r="C561" s="3">
        <v>261.532806058779</v>
      </c>
    </row>
    <row r="562">
      <c r="A562" s="1">
        <f>IFERROR(__xludf.DUMMYFUNCTION("""COMPUTED_VALUE"""),44393.66666666667)</f>
        <v>44393.66667</v>
      </c>
      <c r="B562" s="2">
        <f>IFERROR(__xludf.DUMMYFUNCTION("""COMPUTED_VALUE"""),214.74)</f>
        <v>214.74</v>
      </c>
      <c r="C562" s="3">
        <v>261.778671248334</v>
      </c>
    </row>
    <row r="563">
      <c r="A563" s="1">
        <f>IFERROR(__xludf.DUMMYFUNCTION("""COMPUTED_VALUE"""),44396.66666666667)</f>
        <v>44396.66667</v>
      </c>
      <c r="B563" s="2">
        <f>IFERROR(__xludf.DUMMYFUNCTION("""COMPUTED_VALUE"""),215.41)</f>
        <v>215.41</v>
      </c>
      <c r="C563" s="3">
        <v>265.635801339628</v>
      </c>
    </row>
    <row r="564">
      <c r="A564" s="1">
        <f>IFERROR(__xludf.DUMMYFUNCTION("""COMPUTED_VALUE"""),44397.66666666667)</f>
        <v>44397.66667</v>
      </c>
      <c r="B564" s="2">
        <f>IFERROR(__xludf.DUMMYFUNCTION("""COMPUTED_VALUE"""),220.17)</f>
        <v>220.17</v>
      </c>
      <c r="C564" s="3">
        <v>265.266739882072</v>
      </c>
    </row>
    <row r="565">
      <c r="A565" s="1">
        <f>IFERROR(__xludf.DUMMYFUNCTION("""COMPUTED_VALUE"""),44398.66666666667)</f>
        <v>44398.66667</v>
      </c>
      <c r="B565" s="2">
        <f>IFERROR(__xludf.DUMMYFUNCTION("""COMPUTED_VALUE"""),218.43)</f>
        <v>218.43</v>
      </c>
      <c r="C565" s="3">
        <v>266.130266628938</v>
      </c>
    </row>
    <row r="566">
      <c r="A566" s="1">
        <f>IFERROR(__xludf.DUMMYFUNCTION("""COMPUTED_VALUE"""),44399.66666666667)</f>
        <v>44399.66667</v>
      </c>
      <c r="B566" s="2">
        <f>IFERROR(__xludf.DUMMYFUNCTION("""COMPUTED_VALUE"""),216.42)</f>
        <v>216.42</v>
      </c>
      <c r="C566" s="3">
        <v>265.758842781184</v>
      </c>
    </row>
    <row r="567">
      <c r="A567" s="1">
        <f>IFERROR(__xludf.DUMMYFUNCTION("""COMPUTED_VALUE"""),44400.66666666667)</f>
        <v>44400.66667</v>
      </c>
      <c r="B567" s="2">
        <f>IFERROR(__xludf.DUMMYFUNCTION("""COMPUTED_VALUE"""),214.46)</f>
        <v>214.46</v>
      </c>
      <c r="C567" s="3">
        <v>265.672119669069</v>
      </c>
    </row>
    <row r="568">
      <c r="A568" s="1">
        <f>IFERROR(__xludf.DUMMYFUNCTION("""COMPUTED_VALUE"""),44403.66666666667)</f>
        <v>44403.66667</v>
      </c>
      <c r="B568" s="2">
        <f>IFERROR(__xludf.DUMMYFUNCTION("""COMPUTED_VALUE"""),219.21)</f>
        <v>219.21</v>
      </c>
      <c r="C568" s="3">
        <v>268.708842192582</v>
      </c>
    </row>
    <row r="569">
      <c r="A569" s="1">
        <f>IFERROR(__xludf.DUMMYFUNCTION("""COMPUTED_VALUE"""),44404.66666666667)</f>
        <v>44404.66667</v>
      </c>
      <c r="B569" s="2">
        <f>IFERROR(__xludf.DUMMYFUNCTION("""COMPUTED_VALUE"""),214.93)</f>
        <v>214.93</v>
      </c>
      <c r="C569" s="3">
        <v>268.1395674745</v>
      </c>
    </row>
    <row r="570">
      <c r="A570" s="1">
        <f>IFERROR(__xludf.DUMMYFUNCTION("""COMPUTED_VALUE"""),44405.66666666667)</f>
        <v>44405.66667</v>
      </c>
      <c r="B570" s="2">
        <f>IFERROR(__xludf.DUMMYFUNCTION("""COMPUTED_VALUE"""),215.66)</f>
        <v>215.66</v>
      </c>
      <c r="C570" s="3">
        <v>268.84331172899</v>
      </c>
    </row>
    <row r="571">
      <c r="A571" s="1">
        <f>IFERROR(__xludf.DUMMYFUNCTION("""COMPUTED_VALUE"""),44406.66666666667)</f>
        <v>44406.66667</v>
      </c>
      <c r="B571" s="2">
        <f>IFERROR(__xludf.DUMMYFUNCTION("""COMPUTED_VALUE"""),225.78)</f>
        <v>225.78</v>
      </c>
      <c r="C571" s="3">
        <v>268.352805824316</v>
      </c>
    </row>
    <row r="572">
      <c r="A572" s="1">
        <f>IFERROR(__xludf.DUMMYFUNCTION("""COMPUTED_VALUE"""),44407.66666666667)</f>
        <v>44407.66667</v>
      </c>
      <c r="B572" s="2">
        <f>IFERROR(__xludf.DUMMYFUNCTION("""COMPUTED_VALUE"""),229.07)</f>
        <v>229.07</v>
      </c>
      <c r="C572" s="3">
        <v>268.186234247022</v>
      </c>
    </row>
    <row r="573">
      <c r="A573" s="1">
        <f>IFERROR(__xludf.DUMMYFUNCTION("""COMPUTED_VALUE"""),44410.66666666667)</f>
        <v>44410.66667</v>
      </c>
      <c r="B573" s="2">
        <f>IFERROR(__xludf.DUMMYFUNCTION("""COMPUTED_VALUE"""),236.56)</f>
        <v>236.56</v>
      </c>
      <c r="C573" s="3">
        <v>271.194256714419</v>
      </c>
    </row>
    <row r="574">
      <c r="A574" s="1">
        <f>IFERROR(__xludf.DUMMYFUNCTION("""COMPUTED_VALUE"""),44411.66666666667)</f>
        <v>44411.66667</v>
      </c>
      <c r="B574" s="2">
        <f>IFERROR(__xludf.DUMMYFUNCTION("""COMPUTED_VALUE"""),236.58)</f>
        <v>236.58</v>
      </c>
      <c r="C574" s="3">
        <v>270.672036093209</v>
      </c>
    </row>
    <row r="575">
      <c r="A575" s="1">
        <f>IFERROR(__xludf.DUMMYFUNCTION("""COMPUTED_VALUE"""),44412.66666666667)</f>
        <v>44412.66667</v>
      </c>
      <c r="B575" s="2">
        <f>IFERROR(__xludf.DUMMYFUNCTION("""COMPUTED_VALUE"""),236.97)</f>
        <v>236.97</v>
      </c>
      <c r="C575" s="3">
        <v>271.442705334332</v>
      </c>
    </row>
    <row r="576">
      <c r="A576" s="1">
        <f>IFERROR(__xludf.DUMMYFUNCTION("""COMPUTED_VALUE"""),44413.66666666667)</f>
        <v>44413.66667</v>
      </c>
      <c r="B576" s="2">
        <f>IFERROR(__xludf.DUMMYFUNCTION("""COMPUTED_VALUE"""),238.21)</f>
        <v>238.21</v>
      </c>
      <c r="C576" s="3">
        <v>271.033427115171</v>
      </c>
    </row>
    <row r="577">
      <c r="A577" s="1">
        <f>IFERROR(__xludf.DUMMYFUNCTION("""COMPUTED_VALUE"""),44414.66666666667)</f>
        <v>44414.66667</v>
      </c>
      <c r="B577" s="2">
        <f>IFERROR(__xludf.DUMMYFUNCTION("""COMPUTED_VALUE"""),233.03)</f>
        <v>233.03</v>
      </c>
      <c r="C577" s="3">
        <v>270.956803945987</v>
      </c>
    </row>
    <row r="578">
      <c r="A578" s="1">
        <f>IFERROR(__xludf.DUMMYFUNCTION("""COMPUTED_VALUE"""),44417.66666666667)</f>
        <v>44417.66667</v>
      </c>
      <c r="B578" s="2">
        <f>IFERROR(__xludf.DUMMYFUNCTION("""COMPUTED_VALUE"""),237.92)</f>
        <v>237.92</v>
      </c>
      <c r="C578" s="3">
        <v>274.235633454066</v>
      </c>
    </row>
    <row r="579">
      <c r="A579" s="1">
        <f>IFERROR(__xludf.DUMMYFUNCTION("""COMPUTED_VALUE"""),44418.66666666667)</f>
        <v>44418.66667</v>
      </c>
      <c r="B579" s="2">
        <f>IFERROR(__xludf.DUMMYFUNCTION("""COMPUTED_VALUE"""),236.66)</f>
        <v>236.66</v>
      </c>
      <c r="C579" s="3">
        <v>273.789757829395</v>
      </c>
    </row>
    <row r="580">
      <c r="A580" s="1">
        <f>IFERROR(__xludf.DUMMYFUNCTION("""COMPUTED_VALUE"""),44419.66666666667)</f>
        <v>44419.66667</v>
      </c>
      <c r="B580" s="2">
        <f>IFERROR(__xludf.DUMMYFUNCTION("""COMPUTED_VALUE"""),235.94)</f>
        <v>235.94</v>
      </c>
      <c r="C580" s="3">
        <v>274.624696372134</v>
      </c>
    </row>
    <row r="581">
      <c r="A581" s="1">
        <f>IFERROR(__xludf.DUMMYFUNCTION("""COMPUTED_VALUE"""),44420.66666666667)</f>
        <v>44420.66667</v>
      </c>
      <c r="B581" s="2">
        <f>IFERROR(__xludf.DUMMYFUNCTION("""COMPUTED_VALUE"""),240.75)</f>
        <v>240.75</v>
      </c>
      <c r="C581" s="3">
        <v>274.265994997798</v>
      </c>
    </row>
    <row r="582">
      <c r="A582" s="1">
        <f>IFERROR(__xludf.DUMMYFUNCTION("""COMPUTED_VALUE"""),44421.66666666667)</f>
        <v>44421.66667</v>
      </c>
      <c r="B582" s="2">
        <f>IFERROR(__xludf.DUMMYFUNCTION("""COMPUTED_VALUE"""),239.06)</f>
        <v>239.06</v>
      </c>
      <c r="C582" s="3">
        <v>274.225696757103</v>
      </c>
    </row>
    <row r="583">
      <c r="A583" s="1">
        <f>IFERROR(__xludf.DUMMYFUNCTION("""COMPUTED_VALUE"""),44424.66666666667)</f>
        <v>44424.66667</v>
      </c>
      <c r="B583" s="2">
        <f>IFERROR(__xludf.DUMMYFUNCTION("""COMPUTED_VALUE"""),228.72)</f>
        <v>228.72</v>
      </c>
      <c r="C583" s="3">
        <v>277.538079189688</v>
      </c>
    </row>
    <row r="584">
      <c r="A584" s="1">
        <f>IFERROR(__xludf.DUMMYFUNCTION("""COMPUTED_VALUE"""),44425.66666666667)</f>
        <v>44425.66667</v>
      </c>
      <c r="B584" s="2">
        <f>IFERROR(__xludf.DUMMYFUNCTION("""COMPUTED_VALUE"""),221.9)</f>
        <v>221.9</v>
      </c>
      <c r="C584" s="3">
        <v>277.086375536523</v>
      </c>
    </row>
    <row r="585">
      <c r="A585" s="1">
        <f>IFERROR(__xludf.DUMMYFUNCTION("""COMPUTED_VALUE"""),44426.66666666667)</f>
        <v>44426.66667</v>
      </c>
      <c r="B585" s="2">
        <f>IFERROR(__xludf.DUMMYFUNCTION("""COMPUTED_VALUE"""),229.66)</f>
        <v>229.66</v>
      </c>
      <c r="C585" s="3">
        <v>277.913006983427</v>
      </c>
    </row>
    <row r="586">
      <c r="A586" s="1">
        <f>IFERROR(__xludf.DUMMYFUNCTION("""COMPUTED_VALUE"""),44427.66666666667)</f>
        <v>44427.66667</v>
      </c>
      <c r="B586" s="2">
        <f>IFERROR(__xludf.DUMMYFUNCTION("""COMPUTED_VALUE"""),224.49)</f>
        <v>224.49</v>
      </c>
      <c r="C586" s="3">
        <v>277.547963925537</v>
      </c>
    </row>
    <row r="587">
      <c r="A587" s="1">
        <f>IFERROR(__xludf.DUMMYFUNCTION("""COMPUTED_VALUE"""),44428.66666666667)</f>
        <v>44428.66667</v>
      </c>
      <c r="B587" s="2">
        <f>IFERROR(__xludf.DUMMYFUNCTION("""COMPUTED_VALUE"""),226.75)</f>
        <v>226.75</v>
      </c>
      <c r="C587" s="3">
        <v>277.508001663614</v>
      </c>
    </row>
    <row r="588">
      <c r="A588" s="1">
        <f>IFERROR(__xludf.DUMMYFUNCTION("""COMPUTED_VALUE"""),44431.66666666667)</f>
        <v>44431.66667</v>
      </c>
      <c r="B588" s="2">
        <f>IFERROR(__xludf.DUMMYFUNCTION("""COMPUTED_VALUE"""),235.43)</f>
        <v>235.43</v>
      </c>
      <c r="C588" s="3">
        <v>280.907769485052</v>
      </c>
    </row>
    <row r="589">
      <c r="A589" s="1">
        <f>IFERROR(__xludf.DUMMYFUNCTION("""COMPUTED_VALUE"""),44432.66666666667)</f>
        <v>44432.66667</v>
      </c>
      <c r="B589" s="2">
        <f>IFERROR(__xludf.DUMMYFUNCTION("""COMPUTED_VALUE"""),236.16)</f>
        <v>236.16</v>
      </c>
      <c r="C589" s="3">
        <v>280.527515836151</v>
      </c>
    </row>
    <row r="590">
      <c r="A590" s="1">
        <f>IFERROR(__xludf.DUMMYFUNCTION("""COMPUTED_VALUE"""),44433.66666666667)</f>
        <v>44433.66667</v>
      </c>
      <c r="B590" s="2">
        <f>IFERROR(__xludf.DUMMYFUNCTION("""COMPUTED_VALUE"""),237.07)</f>
        <v>237.07</v>
      </c>
      <c r="C590" s="3">
        <v>281.451787346277</v>
      </c>
    </row>
    <row r="591">
      <c r="A591" s="1">
        <f>IFERROR(__xludf.DUMMYFUNCTION("""COMPUTED_VALUE"""),44434.66666666667)</f>
        <v>44434.66667</v>
      </c>
      <c r="B591" s="2">
        <f>IFERROR(__xludf.DUMMYFUNCTION("""COMPUTED_VALUE"""),233.72)</f>
        <v>233.72</v>
      </c>
      <c r="C591" s="3">
        <v>281.212135226685</v>
      </c>
    </row>
    <row r="592">
      <c r="A592" s="1">
        <f>IFERROR(__xludf.DUMMYFUNCTION("""COMPUTED_VALUE"""),44435.66666666667)</f>
        <v>44435.66667</v>
      </c>
      <c r="B592" s="2">
        <f>IFERROR(__xludf.DUMMYFUNCTION("""COMPUTED_VALUE"""),237.31)</f>
        <v>237.31</v>
      </c>
      <c r="C592" s="3">
        <v>281.325681550241</v>
      </c>
    </row>
    <row r="593">
      <c r="A593" s="1">
        <f>IFERROR(__xludf.DUMMYFUNCTION("""COMPUTED_VALUE"""),44438.66666666667)</f>
        <v>44438.66667</v>
      </c>
      <c r="B593" s="2">
        <f>IFERROR(__xludf.DUMMYFUNCTION("""COMPUTED_VALUE"""),243.64)</f>
        <v>243.64</v>
      </c>
      <c r="C593" s="3">
        <v>285.338468561329</v>
      </c>
    </row>
    <row r="594">
      <c r="A594" s="1">
        <f>IFERROR(__xludf.DUMMYFUNCTION("""COMPUTED_VALUE"""),44439.66666666667)</f>
        <v>44439.66667</v>
      </c>
      <c r="B594" s="2">
        <f>IFERROR(__xludf.DUMMYFUNCTION("""COMPUTED_VALUE"""),245.24)</f>
        <v>245.24</v>
      </c>
      <c r="C594" s="3">
        <v>285.201133094716</v>
      </c>
    </row>
    <row r="595">
      <c r="A595" s="1">
        <f>IFERROR(__xludf.DUMMYFUNCTION("""COMPUTED_VALUE"""),44440.66666666667)</f>
        <v>44440.66667</v>
      </c>
      <c r="B595" s="2">
        <f>IFERROR(__xludf.DUMMYFUNCTION("""COMPUTED_VALUE"""),244.7)</f>
        <v>244.7</v>
      </c>
      <c r="C595" s="3">
        <v>286.378182526129</v>
      </c>
    </row>
    <row r="596">
      <c r="A596" s="1">
        <f>IFERROR(__xludf.DUMMYFUNCTION("""COMPUTED_VALUE"""),44441.66666666667)</f>
        <v>44441.66667</v>
      </c>
      <c r="B596" s="2">
        <f>IFERROR(__xludf.DUMMYFUNCTION("""COMPUTED_VALUE"""),244.13)</f>
        <v>244.13</v>
      </c>
      <c r="C596" s="3">
        <v>286.393741837954</v>
      </c>
    </row>
    <row r="597">
      <c r="A597" s="1">
        <f>IFERROR(__xludf.DUMMYFUNCTION("""COMPUTED_VALUE"""),44442.66666666667)</f>
        <v>44442.66667</v>
      </c>
      <c r="B597" s="2">
        <f>IFERROR(__xludf.DUMMYFUNCTION("""COMPUTED_VALUE"""),244.52)</f>
        <v>244.52</v>
      </c>
      <c r="C597" s="3">
        <v>286.756559764814</v>
      </c>
    </row>
    <row r="598">
      <c r="A598" s="1">
        <f>IFERROR(__xludf.DUMMYFUNCTION("""COMPUTED_VALUE"""),44446.66666666667)</f>
        <v>44446.66667</v>
      </c>
      <c r="B598" s="2">
        <f>IFERROR(__xludf.DUMMYFUNCTION("""COMPUTED_VALUE"""),250.97)</f>
        <v>250.97</v>
      </c>
      <c r="C598" s="3">
        <v>291.382528033968</v>
      </c>
    </row>
    <row r="599">
      <c r="A599" s="1">
        <f>IFERROR(__xludf.DUMMYFUNCTION("""COMPUTED_VALUE"""),44447.66666666667)</f>
        <v>44447.66667</v>
      </c>
      <c r="B599" s="2">
        <f>IFERROR(__xludf.DUMMYFUNCTION("""COMPUTED_VALUE"""),251.29)</f>
        <v>251.29</v>
      </c>
      <c r="C599" s="3">
        <v>292.637818093755</v>
      </c>
    </row>
    <row r="600">
      <c r="A600" s="1">
        <f>IFERROR(__xludf.DUMMYFUNCTION("""COMPUTED_VALUE"""),44448.66666666667)</f>
        <v>44448.66667</v>
      </c>
      <c r="B600" s="2">
        <f>IFERROR(__xludf.DUMMYFUNCTION("""COMPUTED_VALUE"""),251.62)</f>
        <v>251.62</v>
      </c>
      <c r="C600" s="3">
        <v>292.670114260065</v>
      </c>
    </row>
    <row r="601">
      <c r="A601" s="1">
        <f>IFERROR(__xludf.DUMMYFUNCTION("""COMPUTED_VALUE"""),44449.66666666667)</f>
        <v>44449.66667</v>
      </c>
      <c r="B601" s="2">
        <f>IFERROR(__xludf.DUMMYFUNCTION("""COMPUTED_VALUE"""),245.42)</f>
        <v>245.42</v>
      </c>
      <c r="C601" s="3">
        <v>292.980845524927</v>
      </c>
    </row>
    <row r="602">
      <c r="A602" s="1">
        <f>IFERROR(__xludf.DUMMYFUNCTION("""COMPUTED_VALUE"""),44452.66666666667)</f>
        <v>44452.66667</v>
      </c>
      <c r="B602" s="2">
        <f>IFERROR(__xludf.DUMMYFUNCTION("""COMPUTED_VALUE"""),247.67)</f>
        <v>247.67</v>
      </c>
      <c r="C602" s="3">
        <v>296.992378481107</v>
      </c>
    </row>
    <row r="603">
      <c r="A603" s="1">
        <f>IFERROR(__xludf.DUMMYFUNCTION("""COMPUTED_VALUE"""),44453.66666666667)</f>
        <v>44453.66667</v>
      </c>
      <c r="B603" s="2">
        <f>IFERROR(__xludf.DUMMYFUNCTION("""COMPUTED_VALUE"""),248.16)</f>
        <v>248.16</v>
      </c>
      <c r="C603" s="3">
        <v>296.616743215609</v>
      </c>
    </row>
    <row r="604">
      <c r="A604" s="1">
        <f>IFERROR(__xludf.DUMMYFUNCTION("""COMPUTED_VALUE"""),44454.66666666667)</f>
        <v>44454.66667</v>
      </c>
      <c r="B604" s="2">
        <f>IFERROR(__xludf.DUMMYFUNCTION("""COMPUTED_VALUE"""),251.94)</f>
        <v>251.94</v>
      </c>
      <c r="C604" s="3">
        <v>297.421978689851</v>
      </c>
    </row>
    <row r="605">
      <c r="A605" s="1">
        <f>IFERROR(__xludf.DUMMYFUNCTION("""COMPUTED_VALUE"""),44455.66666666667)</f>
        <v>44455.66667</v>
      </c>
      <c r="B605" s="2">
        <f>IFERROR(__xludf.DUMMYFUNCTION("""COMPUTED_VALUE"""),252.33)</f>
        <v>252.33</v>
      </c>
      <c r="C605" s="3">
        <v>296.927679578683</v>
      </c>
    </row>
    <row r="606">
      <c r="A606" s="1">
        <f>IFERROR(__xludf.DUMMYFUNCTION("""COMPUTED_VALUE"""),44456.66666666667)</f>
        <v>44456.66667</v>
      </c>
      <c r="B606" s="2">
        <f>IFERROR(__xludf.DUMMYFUNCTION("""COMPUTED_VALUE"""),253.16)</f>
        <v>253.16</v>
      </c>
      <c r="C606" s="3">
        <v>296.641336077927</v>
      </c>
    </row>
    <row r="607">
      <c r="A607" s="1">
        <f>IFERROR(__xludf.DUMMYFUNCTION("""COMPUTED_VALUE"""),44459.66666666667)</f>
        <v>44459.66667</v>
      </c>
      <c r="B607" s="2">
        <f>IFERROR(__xludf.DUMMYFUNCTION("""COMPUTED_VALUE"""),243.39)</f>
        <v>243.39</v>
      </c>
      <c r="C607" s="3">
        <v>298.530490797136</v>
      </c>
    </row>
    <row r="608">
      <c r="A608" s="1">
        <f>IFERROR(__xludf.DUMMYFUNCTION("""COMPUTED_VALUE"""),44460.66666666667)</f>
        <v>44460.66667</v>
      </c>
      <c r="B608" s="2">
        <f>IFERROR(__xludf.DUMMYFUNCTION("""COMPUTED_VALUE"""),246.46)</f>
        <v>246.46</v>
      </c>
      <c r="C608" s="3">
        <v>297.37675580226</v>
      </c>
    </row>
    <row r="609">
      <c r="A609" s="1">
        <f>IFERROR(__xludf.DUMMYFUNCTION("""COMPUTED_VALUE"""),44461.66666666667)</f>
        <v>44461.66667</v>
      </c>
      <c r="B609" s="2">
        <f>IFERROR(__xludf.DUMMYFUNCTION("""COMPUTED_VALUE"""),250.65)</f>
        <v>250.65</v>
      </c>
      <c r="C609" s="3">
        <v>297.392155799374</v>
      </c>
    </row>
    <row r="610">
      <c r="A610" s="1">
        <f>IFERROR(__xludf.DUMMYFUNCTION("""COMPUTED_VALUE"""),44462.66666666667)</f>
        <v>44462.66667</v>
      </c>
      <c r="B610" s="2">
        <f>IFERROR(__xludf.DUMMYFUNCTION("""COMPUTED_VALUE"""),251.21)</f>
        <v>251.21</v>
      </c>
      <c r="C610" s="3">
        <v>296.111997204536</v>
      </c>
    </row>
    <row r="611">
      <c r="A611" s="1">
        <f>IFERROR(__xludf.DUMMYFUNCTION("""COMPUTED_VALUE"""),44463.66666666667)</f>
        <v>44463.66667</v>
      </c>
      <c r="B611" s="2">
        <f>IFERROR(__xludf.DUMMYFUNCTION("""COMPUTED_VALUE"""),258.13)</f>
        <v>258.13</v>
      </c>
      <c r="C611" s="3">
        <v>295.060002421897</v>
      </c>
    </row>
    <row r="612">
      <c r="A612" s="1">
        <f>IFERROR(__xludf.DUMMYFUNCTION("""COMPUTED_VALUE"""),44466.66666666667)</f>
        <v>44466.66667</v>
      </c>
      <c r="B612" s="2">
        <f>IFERROR(__xludf.DUMMYFUNCTION("""COMPUTED_VALUE"""),263.79)</f>
        <v>263.79</v>
      </c>
      <c r="C612" s="3">
        <v>294.934896963146</v>
      </c>
    </row>
    <row r="613">
      <c r="A613" s="1">
        <f>IFERROR(__xludf.DUMMYFUNCTION("""COMPUTED_VALUE"""),44467.66666666667)</f>
        <v>44467.66667</v>
      </c>
      <c r="B613" s="2">
        <f>IFERROR(__xludf.DUMMYFUNCTION("""COMPUTED_VALUE"""),259.19)</f>
        <v>259.19</v>
      </c>
      <c r="C613" s="3">
        <v>293.254532164499</v>
      </c>
    </row>
    <row r="614">
      <c r="A614" s="1">
        <f>IFERROR(__xludf.DUMMYFUNCTION("""COMPUTED_VALUE"""),44468.66666666667)</f>
        <v>44468.66667</v>
      </c>
      <c r="B614" s="2">
        <f>IFERROR(__xludf.DUMMYFUNCTION("""COMPUTED_VALUE"""),260.44)</f>
        <v>260.44</v>
      </c>
      <c r="C614" s="3">
        <v>292.837905702573</v>
      </c>
    </row>
    <row r="615">
      <c r="A615" s="1">
        <f>IFERROR(__xludf.DUMMYFUNCTION("""COMPUTED_VALUE"""),44469.66666666667)</f>
        <v>44469.66667</v>
      </c>
      <c r="B615" s="2">
        <f>IFERROR(__xludf.DUMMYFUNCTION("""COMPUTED_VALUE"""),258.49)</f>
        <v>258.49</v>
      </c>
      <c r="C615" s="3">
        <v>291.231006353802</v>
      </c>
    </row>
    <row r="616">
      <c r="A616" s="1">
        <f>IFERROR(__xludf.DUMMYFUNCTION("""COMPUTED_VALUE"""),44470.66666666667)</f>
        <v>44470.66667</v>
      </c>
      <c r="B616" s="2">
        <f>IFERROR(__xludf.DUMMYFUNCTION("""COMPUTED_VALUE"""),258.41)</f>
        <v>258.41</v>
      </c>
      <c r="C616" s="3">
        <v>289.96601561139</v>
      </c>
    </row>
    <row r="617">
      <c r="A617" s="1">
        <f>IFERROR(__xludf.DUMMYFUNCTION("""COMPUTED_VALUE"""),44473.66666666667)</f>
        <v>44473.66667</v>
      </c>
      <c r="B617" s="2">
        <f>IFERROR(__xludf.DUMMYFUNCTION("""COMPUTED_VALUE"""),260.51)</f>
        <v>260.51</v>
      </c>
      <c r="C617" s="3">
        <v>289.930602378148</v>
      </c>
    </row>
    <row r="618">
      <c r="A618" s="1">
        <f>IFERROR(__xludf.DUMMYFUNCTION("""COMPUTED_VALUE"""),44474.66666666667)</f>
        <v>44474.66667</v>
      </c>
      <c r="B618" s="2">
        <f>IFERROR(__xludf.DUMMYFUNCTION("""COMPUTED_VALUE"""),260.2)</f>
        <v>260.2</v>
      </c>
      <c r="C618" s="3">
        <v>288.524582390865</v>
      </c>
    </row>
    <row r="619">
      <c r="A619" s="1">
        <f>IFERROR(__xludf.DUMMYFUNCTION("""COMPUTED_VALUE"""),44475.66666666667)</f>
        <v>44475.66667</v>
      </c>
      <c r="B619" s="2">
        <f>IFERROR(__xludf.DUMMYFUNCTION("""COMPUTED_VALUE"""),260.92)</f>
        <v>260.92</v>
      </c>
      <c r="C619" s="3">
        <v>288.498189642365</v>
      </c>
    </row>
    <row r="620">
      <c r="A620" s="1">
        <f>IFERROR(__xludf.DUMMYFUNCTION("""COMPUTED_VALUE"""),44476.66666666667)</f>
        <v>44476.66667</v>
      </c>
      <c r="B620" s="2">
        <f>IFERROR(__xludf.DUMMYFUNCTION("""COMPUTED_VALUE"""),264.54)</f>
        <v>264.54</v>
      </c>
      <c r="C620" s="3">
        <v>287.389447065614</v>
      </c>
    </row>
    <row r="621">
      <c r="A621" s="1">
        <f>IFERROR(__xludf.DUMMYFUNCTION("""COMPUTED_VALUE"""),44477.66666666667)</f>
        <v>44477.66667</v>
      </c>
      <c r="B621" s="2">
        <f>IFERROR(__xludf.DUMMYFUNCTION("""COMPUTED_VALUE"""),261.83)</f>
        <v>261.83</v>
      </c>
      <c r="C621" s="3">
        <v>286.720004400392</v>
      </c>
    </row>
    <row r="622">
      <c r="A622" s="1">
        <f>IFERROR(__xludf.DUMMYFUNCTION("""COMPUTED_VALUE"""),44480.66666666667)</f>
        <v>44480.66667</v>
      </c>
      <c r="B622" s="2">
        <f>IFERROR(__xludf.DUMMYFUNCTION("""COMPUTED_VALUE"""),263.98)</f>
        <v>263.98</v>
      </c>
      <c r="C622" s="3">
        <v>288.91742607997</v>
      </c>
    </row>
    <row r="623">
      <c r="A623" s="1">
        <f>IFERROR(__xludf.DUMMYFUNCTION("""COMPUTED_VALUE"""),44481.66666666667)</f>
        <v>44481.66667</v>
      </c>
      <c r="B623" s="2">
        <f>IFERROR(__xludf.DUMMYFUNCTION("""COMPUTED_VALUE"""),268.57)</f>
        <v>268.57</v>
      </c>
      <c r="C623" s="3">
        <v>288.349866364886</v>
      </c>
    </row>
    <row r="624">
      <c r="A624" s="1">
        <f>IFERROR(__xludf.DUMMYFUNCTION("""COMPUTED_VALUE"""),44482.66666666667)</f>
        <v>44482.66667</v>
      </c>
      <c r="B624" s="2">
        <f>IFERROR(__xludf.DUMMYFUNCTION("""COMPUTED_VALUE"""),270.36)</f>
        <v>270.36</v>
      </c>
      <c r="C624" s="3">
        <v>289.17895604061</v>
      </c>
    </row>
    <row r="625">
      <c r="A625" s="1">
        <f>IFERROR(__xludf.DUMMYFUNCTION("""COMPUTED_VALUE"""),44483.66666666667)</f>
        <v>44483.66667</v>
      </c>
      <c r="B625" s="2">
        <f>IFERROR(__xludf.DUMMYFUNCTION("""COMPUTED_VALUE"""),272.77)</f>
        <v>272.77</v>
      </c>
      <c r="C625" s="3">
        <v>288.923968274226</v>
      </c>
    </row>
    <row r="626">
      <c r="A626" s="1">
        <f>IFERROR(__xludf.DUMMYFUNCTION("""COMPUTED_VALUE"""),44484.66666666667)</f>
        <v>44484.66667</v>
      </c>
      <c r="B626" s="2">
        <f>IFERROR(__xludf.DUMMYFUNCTION("""COMPUTED_VALUE"""),281.01)</f>
        <v>281.01</v>
      </c>
      <c r="C626" s="3">
        <v>289.0880103111</v>
      </c>
    </row>
    <row r="627">
      <c r="A627" s="1">
        <f>IFERROR(__xludf.DUMMYFUNCTION("""COMPUTED_VALUE"""),44487.66666666667)</f>
        <v>44487.66667</v>
      </c>
      <c r="B627" s="2">
        <f>IFERROR(__xludf.DUMMYFUNCTION("""COMPUTED_VALUE"""),290.04)</f>
        <v>290.04</v>
      </c>
      <c r="C627" s="3">
        <v>293.492037580651</v>
      </c>
    </row>
    <row r="628">
      <c r="A628" s="1">
        <f>IFERROR(__xludf.DUMMYFUNCTION("""COMPUTED_VALUE"""),44488.66666666667)</f>
        <v>44488.66667</v>
      </c>
      <c r="B628" s="2">
        <f>IFERROR(__xludf.DUMMYFUNCTION("""COMPUTED_VALUE"""),288.09)</f>
        <v>288.09</v>
      </c>
      <c r="C628" s="3">
        <v>293.512188539675</v>
      </c>
    </row>
    <row r="629">
      <c r="A629" s="1">
        <f>IFERROR(__xludf.DUMMYFUNCTION("""COMPUTED_VALUE"""),44489.66666666667)</f>
        <v>44489.66667</v>
      </c>
      <c r="B629" s="2">
        <f>IFERROR(__xludf.DUMMYFUNCTION("""COMPUTED_VALUE"""),288.6)</f>
        <v>288.6</v>
      </c>
      <c r="C629" s="3">
        <v>294.835283419269</v>
      </c>
    </row>
    <row r="630">
      <c r="A630" s="1">
        <f>IFERROR(__xludf.DUMMYFUNCTION("""COMPUTED_VALUE"""),44490.66666666667)</f>
        <v>44490.66667</v>
      </c>
      <c r="B630" s="2">
        <f>IFERROR(__xludf.DUMMYFUNCTION("""COMPUTED_VALUE"""),298.0)</f>
        <v>298</v>
      </c>
      <c r="C630" s="3">
        <v>294.972476866915</v>
      </c>
    </row>
    <row r="631">
      <c r="A631" s="1">
        <f>IFERROR(__xludf.DUMMYFUNCTION("""COMPUTED_VALUE"""),44491.66666666667)</f>
        <v>44491.66667</v>
      </c>
      <c r="B631" s="2">
        <f>IFERROR(__xludf.DUMMYFUNCTION("""COMPUTED_VALUE"""),303.23)</f>
        <v>303.23</v>
      </c>
      <c r="C631" s="3">
        <v>295.421583146882</v>
      </c>
    </row>
    <row r="632">
      <c r="A632" s="1">
        <f>IFERROR(__xludf.DUMMYFUNCTION("""COMPUTED_VALUE"""),44494.66666666667)</f>
        <v>44494.66667</v>
      </c>
      <c r="B632" s="2">
        <f>IFERROR(__xludf.DUMMYFUNCTION("""COMPUTED_VALUE"""),341.62)</f>
        <v>341.62</v>
      </c>
      <c r="C632" s="3">
        <v>300.029620780123</v>
      </c>
    </row>
    <row r="633">
      <c r="A633" s="1">
        <f>IFERROR(__xludf.DUMMYFUNCTION("""COMPUTED_VALUE"""),44495.66666666667)</f>
        <v>44495.66667</v>
      </c>
      <c r="B633" s="2">
        <f>IFERROR(__xludf.DUMMYFUNCTION("""COMPUTED_VALUE"""),339.48)</f>
        <v>339.48</v>
      </c>
      <c r="C633" s="3">
        <v>299.912611610084</v>
      </c>
    </row>
    <row r="634">
      <c r="A634" s="1">
        <f>IFERROR(__xludf.DUMMYFUNCTION("""COMPUTED_VALUE"""),44496.66666666667)</f>
        <v>44496.66667</v>
      </c>
      <c r="B634" s="2">
        <f>IFERROR(__xludf.DUMMYFUNCTION("""COMPUTED_VALUE"""),345.95)</f>
        <v>345.95</v>
      </c>
      <c r="C634" s="3">
        <v>301.008839605605</v>
      </c>
    </row>
    <row r="635">
      <c r="A635" s="1">
        <f>IFERROR(__xludf.DUMMYFUNCTION("""COMPUTED_VALUE"""),44497.66666666667)</f>
        <v>44497.66667</v>
      </c>
      <c r="B635" s="2">
        <f>IFERROR(__xludf.DUMMYFUNCTION("""COMPUTED_VALUE"""),359.01)</f>
        <v>359.01</v>
      </c>
      <c r="C635" s="3">
        <v>300.840856879315</v>
      </c>
    </row>
    <row r="636">
      <c r="A636" s="1">
        <f>IFERROR(__xludf.DUMMYFUNCTION("""COMPUTED_VALUE"""),44498.66666666667)</f>
        <v>44498.66667</v>
      </c>
      <c r="B636" s="2">
        <f>IFERROR(__xludf.DUMMYFUNCTION("""COMPUTED_VALUE"""),371.33)</f>
        <v>371.33</v>
      </c>
      <c r="C636" s="3">
        <v>300.919867843116</v>
      </c>
    </row>
    <row r="637">
      <c r="A637" s="1">
        <f>IFERROR(__xludf.DUMMYFUNCTION("""COMPUTED_VALUE"""),44501.66666666667)</f>
        <v>44501.66667</v>
      </c>
      <c r="B637" s="2">
        <f>IFERROR(__xludf.DUMMYFUNCTION("""COMPUTED_VALUE"""),402.86)</f>
        <v>402.86</v>
      </c>
      <c r="C637" s="3">
        <v>304.183071014933</v>
      </c>
    </row>
    <row r="638">
      <c r="A638" s="1">
        <f>IFERROR(__xludf.DUMMYFUNCTION("""COMPUTED_VALUE"""),44502.66666666667)</f>
        <v>44502.66667</v>
      </c>
      <c r="B638" s="2">
        <f>IFERROR(__xludf.DUMMYFUNCTION("""COMPUTED_VALUE"""),390.67)</f>
        <v>390.67</v>
      </c>
      <c r="C638" s="3">
        <v>303.594978477114</v>
      </c>
    </row>
    <row r="639">
      <c r="A639" s="1">
        <f>IFERROR(__xludf.DUMMYFUNCTION("""COMPUTED_VALUE"""),44503.66666666667)</f>
        <v>44503.66667</v>
      </c>
      <c r="B639" s="2">
        <f>IFERROR(__xludf.DUMMYFUNCTION("""COMPUTED_VALUE"""),404.62)</f>
        <v>404.62</v>
      </c>
      <c r="C639" s="3">
        <v>304.236523855437</v>
      </c>
    </row>
    <row r="640">
      <c r="A640" s="1">
        <f>IFERROR(__xludf.DUMMYFUNCTION("""COMPUTED_VALUE"""),44504.66666666667)</f>
        <v>44504.66667</v>
      </c>
      <c r="B640" s="2">
        <f>IFERROR(__xludf.DUMMYFUNCTION("""COMPUTED_VALUE"""),409.97)</f>
        <v>409.97</v>
      </c>
      <c r="C640" s="3">
        <v>303.645956232099</v>
      </c>
    </row>
    <row r="641">
      <c r="A641" s="1">
        <f>IFERROR(__xludf.DUMMYFUNCTION("""COMPUTED_VALUE"""),44505.66666666667)</f>
        <v>44505.66667</v>
      </c>
      <c r="B641" s="2">
        <f>IFERROR(__xludf.DUMMYFUNCTION("""COMPUTED_VALUE"""),407.36)</f>
        <v>407.36</v>
      </c>
      <c r="C641" s="3">
        <v>303.348849195417</v>
      </c>
    </row>
    <row r="642">
      <c r="A642" s="1">
        <f>IFERROR(__xludf.DUMMYFUNCTION("""COMPUTED_VALUE"""),44508.66666666667)</f>
        <v>44508.66667</v>
      </c>
      <c r="B642" s="2">
        <f>IFERROR(__xludf.DUMMYFUNCTION("""COMPUTED_VALUE"""),387.65)</f>
        <v>387.65</v>
      </c>
      <c r="C642" s="3">
        <v>305.877568873348</v>
      </c>
    </row>
    <row r="643">
      <c r="A643" s="1">
        <f>IFERROR(__xludf.DUMMYFUNCTION("""COMPUTED_VALUE"""),44509.66666666667)</f>
        <v>44509.66667</v>
      </c>
      <c r="B643" s="2">
        <f>IFERROR(__xludf.DUMMYFUNCTION("""COMPUTED_VALUE"""),341.17)</f>
        <v>341.17</v>
      </c>
      <c r="C643" s="3">
        <v>305.202397691122</v>
      </c>
    </row>
    <row r="644">
      <c r="A644" s="1">
        <f>IFERROR(__xludf.DUMMYFUNCTION("""COMPUTED_VALUE"""),44510.66666666667)</f>
        <v>44510.66667</v>
      </c>
      <c r="B644" s="2">
        <f>IFERROR(__xludf.DUMMYFUNCTION("""COMPUTED_VALUE"""),355.98)</f>
        <v>355.98</v>
      </c>
      <c r="C644" s="3">
        <v>305.842174668761</v>
      </c>
    </row>
    <row r="645">
      <c r="A645" s="1">
        <f>IFERROR(__xludf.DUMMYFUNCTION("""COMPUTED_VALUE"""),44511.66666666667)</f>
        <v>44511.66667</v>
      </c>
      <c r="B645" s="2">
        <f>IFERROR(__xludf.DUMMYFUNCTION("""COMPUTED_VALUE"""),354.5)</f>
        <v>354.5</v>
      </c>
      <c r="C645" s="3">
        <v>305.334653685793</v>
      </c>
    </row>
    <row r="646">
      <c r="A646" s="1">
        <f>IFERROR(__xludf.DUMMYFUNCTION("""COMPUTED_VALUE"""),44512.66666666667)</f>
        <v>44512.66667</v>
      </c>
      <c r="B646" s="2">
        <f>IFERROR(__xludf.DUMMYFUNCTION("""COMPUTED_VALUE"""),344.47)</f>
        <v>344.47</v>
      </c>
      <c r="C646" s="3">
        <v>305.201984094395</v>
      </c>
    </row>
    <row r="647">
      <c r="A647" s="1">
        <f>IFERROR(__xludf.DUMMYFUNCTION("""COMPUTED_VALUE"""),44515.66666666667)</f>
        <v>44515.66667</v>
      </c>
      <c r="B647" s="2">
        <f>IFERROR(__xludf.DUMMYFUNCTION("""COMPUTED_VALUE"""),337.8)</f>
        <v>337.8</v>
      </c>
      <c r="C647" s="3">
        <v>308.636896930734</v>
      </c>
    </row>
    <row r="648">
      <c r="A648" s="1">
        <f>IFERROR(__xludf.DUMMYFUNCTION("""COMPUTED_VALUE"""),44516.66666666667)</f>
        <v>44516.66667</v>
      </c>
      <c r="B648" s="2">
        <f>IFERROR(__xludf.DUMMYFUNCTION("""COMPUTED_VALUE"""),351.58)</f>
        <v>351.58</v>
      </c>
      <c r="C648" s="3">
        <v>308.364204322084</v>
      </c>
    </row>
    <row r="649">
      <c r="A649" s="1">
        <f>IFERROR(__xludf.DUMMYFUNCTION("""COMPUTED_VALUE"""),44517.66666666667)</f>
        <v>44517.66667</v>
      </c>
      <c r="B649" s="2">
        <f>IFERROR(__xludf.DUMMYFUNCTION("""COMPUTED_VALUE"""),363.0)</f>
        <v>363</v>
      </c>
      <c r="C649" s="3">
        <v>309.433219389159</v>
      </c>
    </row>
    <row r="650">
      <c r="A650" s="1">
        <f>IFERROR(__xludf.DUMMYFUNCTION("""COMPUTED_VALUE"""),44518.66666666667)</f>
        <v>44518.66667</v>
      </c>
      <c r="B650" s="2">
        <f>IFERROR(__xludf.DUMMYFUNCTION("""COMPUTED_VALUE"""),365.46)</f>
        <v>365.46</v>
      </c>
      <c r="C650" s="3">
        <v>309.365609434423</v>
      </c>
    </row>
    <row r="651">
      <c r="A651" s="1">
        <f>IFERROR(__xludf.DUMMYFUNCTION("""COMPUTED_VALUE"""),44519.66666666667)</f>
        <v>44519.66667</v>
      </c>
      <c r="B651" s="2">
        <f>IFERROR(__xludf.DUMMYFUNCTION("""COMPUTED_VALUE"""),379.02)</f>
        <v>379.02</v>
      </c>
      <c r="C651" s="3">
        <v>309.666769852194</v>
      </c>
    </row>
    <row r="652">
      <c r="A652" s="1">
        <f>IFERROR(__xludf.DUMMYFUNCTION("""COMPUTED_VALUE"""),44522.66666666667)</f>
        <v>44522.66667</v>
      </c>
      <c r="B652" s="2">
        <f>IFERROR(__xludf.DUMMYFUNCTION("""COMPUTED_VALUE"""),385.62)</f>
        <v>385.62</v>
      </c>
      <c r="C652" s="3">
        <v>314.200157123127</v>
      </c>
    </row>
    <row r="653">
      <c r="A653" s="1">
        <f>IFERROR(__xludf.DUMMYFUNCTION("""COMPUTED_VALUE"""),44523.66666666667)</f>
        <v>44523.66667</v>
      </c>
      <c r="B653" s="2">
        <f>IFERROR(__xludf.DUMMYFUNCTION("""COMPUTED_VALUE"""),369.68)</f>
        <v>369.68</v>
      </c>
      <c r="C653" s="3">
        <v>314.174451214485</v>
      </c>
    </row>
    <row r="654">
      <c r="A654" s="1">
        <f>IFERROR(__xludf.DUMMYFUNCTION("""COMPUTED_VALUE"""),44524.66666666667)</f>
        <v>44524.66667</v>
      </c>
      <c r="B654" s="2">
        <f>IFERROR(__xludf.DUMMYFUNCTION("""COMPUTED_VALUE"""),372.0)</f>
        <v>372</v>
      </c>
      <c r="C654" s="3">
        <v>315.408866542731</v>
      </c>
    </row>
    <row r="655">
      <c r="A655" s="1">
        <f>IFERROR(__xludf.DUMMYFUNCTION("""COMPUTED_VALUE"""),44526.54166666667)</f>
        <v>44526.54167</v>
      </c>
      <c r="B655" s="2">
        <f>IFERROR(__xludf.DUMMYFUNCTION("""COMPUTED_VALUE"""),360.64)</f>
        <v>360.64</v>
      </c>
      <c r="C655" s="3">
        <v>315.691037480288</v>
      </c>
    </row>
    <row r="656">
      <c r="A656" s="1">
        <f>IFERROR(__xludf.DUMMYFUNCTION("""COMPUTED_VALUE"""),44529.66666666667)</f>
        <v>44529.66667</v>
      </c>
      <c r="B656" s="2">
        <f>IFERROR(__xludf.DUMMYFUNCTION("""COMPUTED_VALUE"""),379.0)</f>
        <v>379</v>
      </c>
      <c r="C656" s="3">
        <v>319.526022911005</v>
      </c>
    </row>
    <row r="657">
      <c r="A657" s="1">
        <f>IFERROR(__xludf.DUMMYFUNCTION("""COMPUTED_VALUE"""),44530.66666666667)</f>
        <v>44530.66667</v>
      </c>
      <c r="B657" s="2">
        <f>IFERROR(__xludf.DUMMYFUNCTION("""COMPUTED_VALUE"""),381.59)</f>
        <v>381.59</v>
      </c>
      <c r="C657" s="3">
        <v>319.066027257225</v>
      </c>
    </row>
    <row r="658">
      <c r="A658" s="1">
        <f>IFERROR(__xludf.DUMMYFUNCTION("""COMPUTED_VALUE"""),44531.66666666667)</f>
        <v>44531.66667</v>
      </c>
      <c r="B658" s="2">
        <f>IFERROR(__xludf.DUMMYFUNCTION("""COMPUTED_VALUE"""),365.0)</f>
        <v>365</v>
      </c>
      <c r="C658" s="3">
        <v>319.776384360073</v>
      </c>
    </row>
    <row r="659">
      <c r="A659" s="1">
        <f>IFERROR(__xludf.DUMMYFUNCTION("""COMPUTED_VALUE"""),44532.66666666667)</f>
        <v>44532.66667</v>
      </c>
      <c r="B659" s="2">
        <f>IFERROR(__xludf.DUMMYFUNCTION("""COMPUTED_VALUE"""),361.53)</f>
        <v>361.53</v>
      </c>
      <c r="C659" s="3">
        <v>319.1798161262</v>
      </c>
    </row>
    <row r="660">
      <c r="A660" s="1">
        <f>IFERROR(__xludf.DUMMYFUNCTION("""COMPUTED_VALUE"""),44533.66666666667)</f>
        <v>44533.66667</v>
      </c>
      <c r="B660" s="2">
        <f>IFERROR(__xludf.DUMMYFUNCTION("""COMPUTED_VALUE"""),338.32)</f>
        <v>338.32</v>
      </c>
      <c r="C660" s="3">
        <v>318.788056808235</v>
      </c>
    </row>
    <row r="661">
      <c r="A661" s="1">
        <f>IFERROR(__xludf.DUMMYFUNCTION("""COMPUTED_VALUE"""),44536.66666666667)</f>
        <v>44536.66667</v>
      </c>
      <c r="B661" s="2">
        <f>IFERROR(__xludf.DUMMYFUNCTION("""COMPUTED_VALUE"""),336.34)</f>
        <v>336.34</v>
      </c>
      <c r="C661" s="3">
        <v>320.398652064617</v>
      </c>
    </row>
    <row r="662">
      <c r="A662" s="1">
        <f>IFERROR(__xludf.DUMMYFUNCTION("""COMPUTED_VALUE"""),44537.66666666667)</f>
        <v>44537.66667</v>
      </c>
      <c r="B662" s="2">
        <f>IFERROR(__xludf.DUMMYFUNCTION("""COMPUTED_VALUE"""),350.58)</f>
        <v>350.58</v>
      </c>
      <c r="C662" s="3">
        <v>319.186959237608</v>
      </c>
    </row>
    <row r="663">
      <c r="A663" s="1">
        <f>IFERROR(__xludf.DUMMYFUNCTION("""COMPUTED_VALUE"""),44538.66666666667)</f>
        <v>44538.66667</v>
      </c>
      <c r="B663" s="2">
        <f>IFERROR(__xludf.DUMMYFUNCTION("""COMPUTED_VALUE"""),356.32)</f>
        <v>356.32</v>
      </c>
      <c r="C663" s="3">
        <v>319.173990657059</v>
      </c>
    </row>
    <row r="664">
      <c r="A664" s="1">
        <f>IFERROR(__xludf.DUMMYFUNCTION("""COMPUTED_VALUE"""),44539.66666666667)</f>
        <v>44539.66667</v>
      </c>
      <c r="B664" s="2">
        <f>IFERROR(__xludf.DUMMYFUNCTION("""COMPUTED_VALUE"""),334.6)</f>
        <v>334.6</v>
      </c>
      <c r="C664" s="3">
        <v>317.902400962432</v>
      </c>
    </row>
    <row r="665">
      <c r="A665" s="1">
        <f>IFERROR(__xludf.DUMMYFUNCTION("""COMPUTED_VALUE"""),44540.66666666667)</f>
        <v>44540.66667</v>
      </c>
      <c r="B665" s="2">
        <f>IFERROR(__xludf.DUMMYFUNCTION("""COMPUTED_VALUE"""),339.01)</f>
        <v>339.01</v>
      </c>
      <c r="C665" s="3">
        <v>316.902930702104</v>
      </c>
    </row>
    <row r="666">
      <c r="A666" s="1">
        <f>IFERROR(__xludf.DUMMYFUNCTION("""COMPUTED_VALUE"""),44543.66666666667)</f>
        <v>44543.66667</v>
      </c>
      <c r="B666" s="2">
        <f>IFERROR(__xludf.DUMMYFUNCTION("""COMPUTED_VALUE"""),322.14)</f>
        <v>322.14</v>
      </c>
      <c r="C666" s="3">
        <v>317.258782275993</v>
      </c>
    </row>
    <row r="667">
      <c r="A667" s="1">
        <f>IFERROR(__xludf.DUMMYFUNCTION("""COMPUTED_VALUE"""),44544.66666666667)</f>
        <v>44544.66667</v>
      </c>
      <c r="B667" s="2">
        <f>IFERROR(__xludf.DUMMYFUNCTION("""COMPUTED_VALUE"""),319.5)</f>
        <v>319.5</v>
      </c>
      <c r="C667" s="3">
        <v>315.861169058691</v>
      </c>
    </row>
    <row r="668">
      <c r="A668" s="1">
        <f>IFERROR(__xludf.DUMMYFUNCTION("""COMPUTED_VALUE"""),44545.66666666667)</f>
        <v>44545.66667</v>
      </c>
      <c r="B668" s="2">
        <f>IFERROR(__xludf.DUMMYFUNCTION("""COMPUTED_VALUE"""),325.33)</f>
        <v>325.33</v>
      </c>
      <c r="C668" s="3">
        <v>315.792450955442</v>
      </c>
    </row>
    <row r="669">
      <c r="A669" s="1">
        <f>IFERROR(__xludf.DUMMYFUNCTION("""COMPUTED_VALUE"""),44546.66666666667)</f>
        <v>44546.66667</v>
      </c>
      <c r="B669" s="2">
        <f>IFERROR(__xludf.DUMMYFUNCTION("""COMPUTED_VALUE"""),308.97)</f>
        <v>308.97</v>
      </c>
      <c r="C669" s="3">
        <v>314.59859340042</v>
      </c>
    </row>
    <row r="670">
      <c r="A670" s="1">
        <f>IFERROR(__xludf.DUMMYFUNCTION("""COMPUTED_VALUE"""),44547.66666666667)</f>
        <v>44547.66667</v>
      </c>
      <c r="B670" s="2">
        <f>IFERROR(__xludf.DUMMYFUNCTION("""COMPUTED_VALUE"""),310.86)</f>
        <v>310.86</v>
      </c>
      <c r="C670" s="3">
        <v>313.809999292236</v>
      </c>
    </row>
    <row r="671">
      <c r="A671" s="1">
        <f>IFERROR(__xludf.DUMMYFUNCTION("""COMPUTED_VALUE"""),44550.66666666667)</f>
        <v>44550.66667</v>
      </c>
      <c r="B671" s="2">
        <f>IFERROR(__xludf.DUMMYFUNCTION("""COMPUTED_VALUE"""),299.98)</f>
        <v>299.98</v>
      </c>
      <c r="C671" s="3">
        <v>315.539020811017</v>
      </c>
    </row>
    <row r="672">
      <c r="A672" s="1">
        <f>IFERROR(__xludf.DUMMYFUNCTION("""COMPUTED_VALUE"""),44551.66666666667)</f>
        <v>44551.66667</v>
      </c>
      <c r="B672" s="2">
        <f>IFERROR(__xludf.DUMMYFUNCTION("""COMPUTED_VALUE"""),312.84)</f>
        <v>312.84</v>
      </c>
      <c r="C672" s="3">
        <v>314.809126504446</v>
      </c>
    </row>
    <row r="673">
      <c r="A673" s="1">
        <f>IFERROR(__xludf.DUMMYFUNCTION("""COMPUTED_VALUE"""),44552.66666666667)</f>
        <v>44552.66667</v>
      </c>
      <c r="B673" s="2">
        <f>IFERROR(__xludf.DUMMYFUNCTION("""COMPUTED_VALUE"""),336.29)</f>
        <v>336.29</v>
      </c>
      <c r="C673" s="3">
        <v>315.486918483446</v>
      </c>
    </row>
    <row r="674">
      <c r="A674" s="1">
        <f>IFERROR(__xludf.DUMMYFUNCTION("""COMPUTED_VALUE"""),44553.66666666667)</f>
        <v>44553.66667</v>
      </c>
      <c r="B674" s="2">
        <f>IFERROR(__xludf.DUMMYFUNCTION("""COMPUTED_VALUE"""),355.67)</f>
        <v>355.67</v>
      </c>
      <c r="C674" s="3">
        <v>315.098784449021</v>
      </c>
    </row>
    <row r="675">
      <c r="A675" s="1">
        <f>IFERROR(__xludf.DUMMYFUNCTION("""COMPUTED_VALUE"""),44557.66666666667)</f>
        <v>44557.66667</v>
      </c>
      <c r="B675" s="2">
        <f>IFERROR(__xludf.DUMMYFUNCTION("""COMPUTED_VALUE"""),364.65)</f>
        <v>364.65</v>
      </c>
      <c r="C675" s="3">
        <v>319.409470776192</v>
      </c>
    </row>
    <row r="676">
      <c r="A676" s="1">
        <f>IFERROR(__xludf.DUMMYFUNCTION("""COMPUTED_VALUE"""),44558.66666666667)</f>
        <v>44558.66667</v>
      </c>
      <c r="B676" s="2">
        <f>IFERROR(__xludf.DUMMYFUNCTION("""COMPUTED_VALUE"""),362.82)</f>
        <v>362.82</v>
      </c>
      <c r="C676" s="3">
        <v>319.443106376146</v>
      </c>
    </row>
    <row r="677">
      <c r="A677" s="1">
        <f>IFERROR(__xludf.DUMMYFUNCTION("""COMPUTED_VALUE"""),44559.66666666667)</f>
        <v>44559.66667</v>
      </c>
      <c r="B677" s="2">
        <f>IFERROR(__xludf.DUMMYFUNCTION("""COMPUTED_VALUE"""),362.06)</f>
        <v>362.06</v>
      </c>
      <c r="C677" s="3">
        <v>320.808213766013</v>
      </c>
    </row>
    <row r="678">
      <c r="A678" s="1">
        <f>IFERROR(__xludf.DUMMYFUNCTION("""COMPUTED_VALUE"""),44560.66666666667)</f>
        <v>44560.66667</v>
      </c>
      <c r="B678" s="2">
        <f>IFERROR(__xludf.DUMMYFUNCTION("""COMPUTED_VALUE"""),356.78)</f>
        <v>356.78</v>
      </c>
      <c r="C678" s="3">
        <v>321.011544960683</v>
      </c>
    </row>
    <row r="679">
      <c r="A679" s="1">
        <f>IFERROR(__xludf.DUMMYFUNCTION("""COMPUTED_VALUE"""),44561.66666666667)</f>
        <v>44561.66667</v>
      </c>
      <c r="B679" s="2">
        <f>IFERROR(__xludf.DUMMYFUNCTION("""COMPUTED_VALUE"""),352.26)</f>
        <v>352.26</v>
      </c>
      <c r="C679" s="3">
        <v>321.544882916908</v>
      </c>
    </row>
    <row r="680">
      <c r="A680" s="1">
        <f>IFERROR(__xludf.DUMMYFUNCTION("""COMPUTED_VALUE"""),44564.66666666667)</f>
        <v>44564.66667</v>
      </c>
      <c r="B680" s="2">
        <f>IFERROR(__xludf.DUMMYFUNCTION("""COMPUTED_VALUE"""),399.93)</f>
        <v>399.93</v>
      </c>
      <c r="C680" s="3">
        <v>326.433415888099</v>
      </c>
    </row>
    <row r="681">
      <c r="A681" s="1">
        <f>IFERROR(__xludf.DUMMYFUNCTION("""COMPUTED_VALUE"""),44565.66666666667)</f>
        <v>44565.66667</v>
      </c>
      <c r="B681" s="2">
        <f>IFERROR(__xludf.DUMMYFUNCTION("""COMPUTED_VALUE"""),383.2)</f>
        <v>383.2</v>
      </c>
      <c r="C681" s="3">
        <v>326.387198226797</v>
      </c>
    </row>
    <row r="682">
      <c r="A682" s="1">
        <f>IFERROR(__xludf.DUMMYFUNCTION("""COMPUTED_VALUE"""),44566.66666666667)</f>
        <v>44566.66667</v>
      </c>
      <c r="B682" s="2">
        <f>IFERROR(__xludf.DUMMYFUNCTION("""COMPUTED_VALUE"""),362.71)</f>
        <v>362.71</v>
      </c>
      <c r="C682" s="3">
        <v>327.525410308536</v>
      </c>
    </row>
    <row r="683">
      <c r="A683" s="1">
        <f>IFERROR(__xludf.DUMMYFUNCTION("""COMPUTED_VALUE"""),44567.66666666667)</f>
        <v>44567.66667</v>
      </c>
      <c r="B683" s="2">
        <f>IFERROR(__xludf.DUMMYFUNCTION("""COMPUTED_VALUE"""),354.9)</f>
        <v>354.9</v>
      </c>
      <c r="C683" s="3">
        <v>327.359962963066</v>
      </c>
    </row>
    <row r="684">
      <c r="A684" s="1">
        <f>IFERROR(__xludf.DUMMYFUNCTION("""COMPUTED_VALUE"""),44568.66666666667)</f>
        <v>44568.66667</v>
      </c>
      <c r="B684" s="2">
        <f>IFERROR(__xludf.DUMMYFUNCTION("""COMPUTED_VALUE"""),342.32)</f>
        <v>342.32</v>
      </c>
      <c r="C684" s="3">
        <v>327.391808328207</v>
      </c>
    </row>
    <row r="685">
      <c r="A685" s="1">
        <f>IFERROR(__xludf.DUMMYFUNCTION("""COMPUTED_VALUE"""),44571.66666666667)</f>
        <v>44571.66667</v>
      </c>
      <c r="B685" s="2">
        <f>IFERROR(__xludf.DUMMYFUNCTION("""COMPUTED_VALUE"""),352.71)</f>
        <v>352.71</v>
      </c>
      <c r="C685" s="3">
        <v>330.126081097287</v>
      </c>
    </row>
    <row r="686">
      <c r="A686" s="1">
        <f>IFERROR(__xludf.DUMMYFUNCTION("""COMPUTED_VALUE"""),44572.66666666667)</f>
        <v>44572.66667</v>
      </c>
      <c r="B686" s="2">
        <f>IFERROR(__xludf.DUMMYFUNCTION("""COMPUTED_VALUE"""),354.8)</f>
        <v>354.8</v>
      </c>
      <c r="C686" s="3">
        <v>329.209535177045</v>
      </c>
    </row>
    <row r="687">
      <c r="A687" s="1">
        <f>IFERROR(__xludf.DUMMYFUNCTION("""COMPUTED_VALUE"""),44573.66666666667)</f>
        <v>44573.66667</v>
      </c>
      <c r="B687" s="2">
        <f>IFERROR(__xludf.DUMMYFUNCTION("""COMPUTED_VALUE"""),368.74)</f>
        <v>368.74</v>
      </c>
      <c r="C687" s="3">
        <v>329.439435325179</v>
      </c>
    </row>
    <row r="688">
      <c r="A688" s="1">
        <f>IFERROR(__xludf.DUMMYFUNCTION("""COMPUTED_VALUE"""),44574.66666666667)</f>
        <v>44574.66667</v>
      </c>
      <c r="B688" s="2">
        <f>IFERROR(__xludf.DUMMYFUNCTION("""COMPUTED_VALUE"""),343.85)</f>
        <v>343.85</v>
      </c>
      <c r="C688" s="3">
        <v>327.972091040677</v>
      </c>
    </row>
    <row r="689">
      <c r="A689" s="1">
        <f>IFERROR(__xludf.DUMMYFUNCTION("""COMPUTED_VALUE"""),44575.66666666667)</f>
        <v>44575.66667</v>
      </c>
      <c r="B689" s="2">
        <f>IFERROR(__xludf.DUMMYFUNCTION("""COMPUTED_VALUE"""),349.87)</f>
        <v>349.87</v>
      </c>
      <c r="C689" s="3">
        <v>326.714980730163</v>
      </c>
    </row>
    <row r="690">
      <c r="A690" s="1">
        <f>IFERROR(__xludf.DUMMYFUNCTION("""COMPUTED_VALUE"""),44579.66666666667)</f>
        <v>44579.66667</v>
      </c>
      <c r="B690" s="2">
        <f>IFERROR(__xludf.DUMMYFUNCTION("""COMPUTED_VALUE"""),343.5)</f>
        <v>343.5</v>
      </c>
      <c r="C690" s="3">
        <v>324.00125351512</v>
      </c>
    </row>
    <row r="691">
      <c r="A691" s="1">
        <f>IFERROR(__xludf.DUMMYFUNCTION("""COMPUTED_VALUE"""),44580.66666666667)</f>
        <v>44580.66667</v>
      </c>
      <c r="B691" s="2">
        <f>IFERROR(__xludf.DUMMYFUNCTION("""COMPUTED_VALUE"""),331.88)</f>
        <v>331.88</v>
      </c>
      <c r="C691" s="3">
        <v>323.363359497053</v>
      </c>
    </row>
    <row r="692">
      <c r="A692" s="1">
        <f>IFERROR(__xludf.DUMMYFUNCTION("""COMPUTED_VALUE"""),44581.66666666667)</f>
        <v>44581.66667</v>
      </c>
      <c r="B692" s="2">
        <f>IFERROR(__xludf.DUMMYFUNCTION("""COMPUTED_VALUE"""),332.09)</f>
        <v>332.09</v>
      </c>
      <c r="C692" s="3">
        <v>321.549162890491</v>
      </c>
    </row>
    <row r="693">
      <c r="A693" s="1">
        <f>IFERROR(__xludf.DUMMYFUNCTION("""COMPUTED_VALUE"""),44582.66666666667)</f>
        <v>44582.66667</v>
      </c>
      <c r="B693" s="2">
        <f>IFERROR(__xludf.DUMMYFUNCTION("""COMPUTED_VALUE"""),314.63)</f>
        <v>314.63</v>
      </c>
      <c r="C693" s="3">
        <v>320.096218744278</v>
      </c>
    </row>
    <row r="694">
      <c r="A694" s="1">
        <f>IFERROR(__xludf.DUMMYFUNCTION("""COMPUTED_VALUE"""),44585.66666666667)</f>
        <v>44585.66667</v>
      </c>
      <c r="B694" s="2">
        <f>IFERROR(__xludf.DUMMYFUNCTION("""COMPUTED_VALUE"""),310.0)</f>
        <v>310</v>
      </c>
      <c r="C694" s="3">
        <v>319.655351163851</v>
      </c>
    </row>
    <row r="695">
      <c r="A695" s="1">
        <f>IFERROR(__xludf.DUMMYFUNCTION("""COMPUTED_VALUE"""),44586.66666666667)</f>
        <v>44586.66667</v>
      </c>
      <c r="B695" s="2">
        <f>IFERROR(__xludf.DUMMYFUNCTION("""COMPUTED_VALUE"""),306.13)</f>
        <v>306.13</v>
      </c>
      <c r="C695" s="3">
        <v>318.175772821459</v>
      </c>
    </row>
    <row r="696">
      <c r="A696" s="1">
        <f>IFERROR(__xludf.DUMMYFUNCTION("""COMPUTED_VALUE"""),44587.66666666667)</f>
        <v>44587.66667</v>
      </c>
      <c r="B696" s="2">
        <f>IFERROR(__xludf.DUMMYFUNCTION("""COMPUTED_VALUE"""),312.47)</f>
        <v>312.47</v>
      </c>
      <c r="C696" s="3">
        <v>318.107724451105</v>
      </c>
    </row>
    <row r="697">
      <c r="A697" s="1">
        <f>IFERROR(__xludf.DUMMYFUNCTION("""COMPUTED_VALUE"""),44588.66666666667)</f>
        <v>44588.66667</v>
      </c>
      <c r="B697" s="2">
        <f>IFERROR(__xludf.DUMMYFUNCTION("""COMPUTED_VALUE"""),276.37)</f>
        <v>276.37</v>
      </c>
      <c r="C697" s="3">
        <v>316.987642359039</v>
      </c>
    </row>
    <row r="698">
      <c r="A698" s="1">
        <f>IFERROR(__xludf.DUMMYFUNCTION("""COMPUTED_VALUE"""),44589.66666666667)</f>
        <v>44589.66667</v>
      </c>
      <c r="B698" s="2">
        <f>IFERROR(__xludf.DUMMYFUNCTION("""COMPUTED_VALUE"""),282.12)</f>
        <v>282.12</v>
      </c>
      <c r="C698" s="3">
        <v>316.333981443672</v>
      </c>
    </row>
    <row r="699">
      <c r="A699" s="1">
        <f>IFERROR(__xludf.DUMMYFUNCTION("""COMPUTED_VALUE"""),44592.66666666667)</f>
        <v>44592.66667</v>
      </c>
      <c r="B699" s="2">
        <f>IFERROR(__xludf.DUMMYFUNCTION("""COMPUTED_VALUE"""),312.24)</f>
        <v>312.24</v>
      </c>
      <c r="C699" s="3">
        <v>318.685353442533</v>
      </c>
    </row>
    <row r="700">
      <c r="A700" s="1">
        <f>IFERROR(__xludf.DUMMYFUNCTION("""COMPUTED_VALUE"""),44593.66666666667)</f>
        <v>44593.66667</v>
      </c>
      <c r="B700" s="2">
        <f>IFERROR(__xludf.DUMMYFUNCTION("""COMPUTED_VALUE"""),310.42)</f>
        <v>310.42</v>
      </c>
      <c r="C700" s="3">
        <v>318.178291579604</v>
      </c>
    </row>
    <row r="701">
      <c r="A701" s="1">
        <f>IFERROR(__xludf.DUMMYFUNCTION("""COMPUTED_VALUE"""),44594.66666666667)</f>
        <v>44594.66667</v>
      </c>
      <c r="B701" s="2">
        <f>IFERROR(__xludf.DUMMYFUNCTION("""COMPUTED_VALUE"""),301.89)</f>
        <v>301.89</v>
      </c>
      <c r="C701" s="3">
        <v>319.055883001309</v>
      </c>
    </row>
    <row r="702">
      <c r="A702" s="1">
        <f>IFERROR(__xludf.DUMMYFUNCTION("""COMPUTED_VALUE"""),44595.66666666667)</f>
        <v>44595.66667</v>
      </c>
      <c r="B702" s="2">
        <f>IFERROR(__xludf.DUMMYFUNCTION("""COMPUTED_VALUE"""),297.05)</f>
        <v>297.05</v>
      </c>
      <c r="C702" s="3">
        <v>318.825766791887</v>
      </c>
    </row>
    <row r="703">
      <c r="A703" s="1">
        <f>IFERROR(__xludf.DUMMYFUNCTION("""COMPUTED_VALUE"""),44596.66666666667)</f>
        <v>44596.66667</v>
      </c>
      <c r="B703" s="2">
        <f>IFERROR(__xludf.DUMMYFUNCTION("""COMPUTED_VALUE"""),307.77)</f>
        <v>307.77</v>
      </c>
      <c r="C703" s="3">
        <v>318.978605034628</v>
      </c>
    </row>
    <row r="704">
      <c r="A704" s="1">
        <f>IFERROR(__xludf.DUMMYFUNCTION("""COMPUTED_VALUE"""),44599.66666666667)</f>
        <v>44599.66667</v>
      </c>
      <c r="B704" s="2">
        <f>IFERROR(__xludf.DUMMYFUNCTION("""COMPUTED_VALUE"""),302.45)</f>
        <v>302.45</v>
      </c>
      <c r="C704" s="3">
        <v>323.00159255519</v>
      </c>
    </row>
    <row r="705">
      <c r="A705" s="1">
        <f>IFERROR(__xludf.DUMMYFUNCTION("""COMPUTED_VALUE"""),44600.66666666667)</f>
        <v>44600.66667</v>
      </c>
      <c r="B705" s="2">
        <f>IFERROR(__xludf.DUMMYFUNCTION("""COMPUTED_VALUE"""),307.33)</f>
        <v>307.33</v>
      </c>
      <c r="C705" s="3">
        <v>322.735139289192</v>
      </c>
    </row>
    <row r="706">
      <c r="A706" s="1">
        <f>IFERROR(__xludf.DUMMYFUNCTION("""COMPUTED_VALUE"""),44601.66666666667)</f>
        <v>44601.66667</v>
      </c>
      <c r="B706" s="2">
        <f>IFERROR(__xludf.DUMMYFUNCTION("""COMPUTED_VALUE"""),310.67)</f>
        <v>310.67</v>
      </c>
      <c r="C706" s="3">
        <v>323.670952452652</v>
      </c>
    </row>
    <row r="707">
      <c r="A707" s="1">
        <f>IFERROR(__xludf.DUMMYFUNCTION("""COMPUTED_VALUE"""),44602.66666666667)</f>
        <v>44602.66667</v>
      </c>
      <c r="B707" s="2">
        <f>IFERROR(__xludf.DUMMYFUNCTION("""COMPUTED_VALUE"""),301.52)</f>
        <v>301.52</v>
      </c>
      <c r="C707" s="3">
        <v>323.308905236948</v>
      </c>
    </row>
    <row r="708">
      <c r="A708" s="1">
        <f>IFERROR(__xludf.DUMMYFUNCTION("""COMPUTED_VALUE"""),44603.66666666667)</f>
        <v>44603.66667</v>
      </c>
      <c r="B708" s="2">
        <f>IFERROR(__xludf.DUMMYFUNCTION("""COMPUTED_VALUE"""),286.67)</f>
        <v>286.67</v>
      </c>
      <c r="C708" s="3">
        <v>323.136773495518</v>
      </c>
    </row>
    <row r="709">
      <c r="A709" s="1">
        <f>IFERROR(__xludf.DUMMYFUNCTION("""COMPUTED_VALUE"""),44606.66666666667)</f>
        <v>44606.66667</v>
      </c>
      <c r="B709" s="2">
        <f>IFERROR(__xludf.DUMMYFUNCTION("""COMPUTED_VALUE"""),291.92)</f>
        <v>291.92</v>
      </c>
      <c r="C709" s="3">
        <v>325.072843342198</v>
      </c>
    </row>
    <row r="710">
      <c r="A710" s="1">
        <f>IFERROR(__xludf.DUMMYFUNCTION("""COMPUTED_VALUE"""),44607.66666666667)</f>
        <v>44607.66667</v>
      </c>
      <c r="B710" s="2">
        <f>IFERROR(__xludf.DUMMYFUNCTION("""COMPUTED_VALUE"""),307.48)</f>
        <v>307.48</v>
      </c>
      <c r="C710" s="3">
        <v>323.779921258835</v>
      </c>
    </row>
    <row r="711">
      <c r="A711" s="1">
        <f>IFERROR(__xludf.DUMMYFUNCTION("""COMPUTED_VALUE"""),44608.66666666667)</f>
        <v>44608.66667</v>
      </c>
      <c r="B711" s="2">
        <f>IFERROR(__xludf.DUMMYFUNCTION("""COMPUTED_VALUE"""),307.8)</f>
        <v>307.8</v>
      </c>
      <c r="C711" s="3">
        <v>323.555083884944</v>
      </c>
    </row>
    <row r="712">
      <c r="A712" s="1">
        <f>IFERROR(__xludf.DUMMYFUNCTION("""COMPUTED_VALUE"""),44609.66666666667)</f>
        <v>44609.66667</v>
      </c>
      <c r="B712" s="2">
        <f>IFERROR(__xludf.DUMMYFUNCTION("""COMPUTED_VALUE"""),292.12)</f>
        <v>292.12</v>
      </c>
      <c r="C712" s="3">
        <v>321.922851965029</v>
      </c>
    </row>
    <row r="713">
      <c r="A713" s="1">
        <f>IFERROR(__xludf.DUMMYFUNCTION("""COMPUTED_VALUE"""),44610.66666666667)</f>
        <v>44610.66667</v>
      </c>
      <c r="B713" s="2">
        <f>IFERROR(__xludf.DUMMYFUNCTION("""COMPUTED_VALUE"""),285.66)</f>
        <v>285.66</v>
      </c>
      <c r="C713" s="3">
        <v>320.398799683976</v>
      </c>
    </row>
    <row r="714">
      <c r="A714" s="1">
        <f>IFERROR(__xludf.DUMMYFUNCTION("""COMPUTED_VALUE"""),44614.66666666667)</f>
        <v>44614.66667</v>
      </c>
      <c r="B714" s="2">
        <f>IFERROR(__xludf.DUMMYFUNCTION("""COMPUTED_VALUE"""),273.84)</f>
        <v>273.84</v>
      </c>
      <c r="C714" s="3">
        <v>315.443240094714</v>
      </c>
    </row>
    <row r="715">
      <c r="A715" s="1">
        <f>IFERROR(__xludf.DUMMYFUNCTION("""COMPUTED_VALUE"""),44615.66666666667)</f>
        <v>44615.66667</v>
      </c>
      <c r="B715" s="2">
        <f>IFERROR(__xludf.DUMMYFUNCTION("""COMPUTED_VALUE"""),254.68)</f>
        <v>254.68</v>
      </c>
      <c r="C715" s="3">
        <v>313.934116009456</v>
      </c>
    </row>
    <row r="716">
      <c r="A716" s="1">
        <f>IFERROR(__xludf.DUMMYFUNCTION("""COMPUTED_VALUE"""),44616.66666666667)</f>
        <v>44616.66667</v>
      </c>
      <c r="B716" s="2">
        <f>IFERROR(__xludf.DUMMYFUNCTION("""COMPUTED_VALUE"""),266.92)</f>
        <v>266.92</v>
      </c>
      <c r="C716" s="3">
        <v>311.127055301234</v>
      </c>
    </row>
    <row r="717">
      <c r="A717" s="1">
        <f>IFERROR(__xludf.DUMMYFUNCTION("""COMPUTED_VALUE"""),44617.66666666667)</f>
        <v>44617.66667</v>
      </c>
      <c r="B717" s="2">
        <f>IFERROR(__xludf.DUMMYFUNCTION("""COMPUTED_VALUE"""),269.96)</f>
        <v>269.96</v>
      </c>
      <c r="C717" s="3">
        <v>308.566057661855</v>
      </c>
    </row>
    <row r="718">
      <c r="A718" s="1">
        <f>IFERROR(__xludf.DUMMYFUNCTION("""COMPUTED_VALUE"""),44620.66666666667)</f>
        <v>44620.66667</v>
      </c>
      <c r="B718" s="2">
        <f>IFERROR(__xludf.DUMMYFUNCTION("""COMPUTED_VALUE"""),290.14)</f>
        <v>290.14</v>
      </c>
      <c r="C718" s="3">
        <v>304.21796759087</v>
      </c>
    </row>
    <row r="719">
      <c r="A719" s="1">
        <f>IFERROR(__xludf.DUMMYFUNCTION("""COMPUTED_VALUE"""),44621.66666666667)</f>
        <v>44621.66667</v>
      </c>
      <c r="B719" s="2">
        <f>IFERROR(__xludf.DUMMYFUNCTION("""COMPUTED_VALUE"""),288.12)</f>
        <v>288.12</v>
      </c>
      <c r="C719" s="3">
        <v>301.291299584792</v>
      </c>
    </row>
    <row r="720">
      <c r="A720" s="1">
        <f>IFERROR(__xludf.DUMMYFUNCTION("""COMPUTED_VALUE"""),44622.66666666667)</f>
        <v>44622.66667</v>
      </c>
      <c r="B720" s="2">
        <f>IFERROR(__xludf.DUMMYFUNCTION("""COMPUTED_VALUE"""),293.3)</f>
        <v>293.3</v>
      </c>
      <c r="C720" s="3">
        <v>299.73472888403</v>
      </c>
    </row>
    <row r="721">
      <c r="A721" s="1">
        <f>IFERROR(__xludf.DUMMYFUNCTION("""COMPUTED_VALUE"""),44623.66666666667)</f>
        <v>44623.66667</v>
      </c>
      <c r="B721" s="2">
        <f>IFERROR(__xludf.DUMMYFUNCTION("""COMPUTED_VALUE"""),279.76)</f>
        <v>279.76</v>
      </c>
      <c r="C721" s="3">
        <v>297.106261348541</v>
      </c>
    </row>
    <row r="722">
      <c r="A722" s="1">
        <f>IFERROR(__xludf.DUMMYFUNCTION("""COMPUTED_VALUE"""),44624.66666666667)</f>
        <v>44624.66667</v>
      </c>
      <c r="B722" s="2">
        <f>IFERROR(__xludf.DUMMYFUNCTION("""COMPUTED_VALUE"""),279.43)</f>
        <v>279.43</v>
      </c>
      <c r="C722" s="3">
        <v>294.947426281195</v>
      </c>
    </row>
    <row r="723">
      <c r="A723" s="1">
        <f>IFERROR(__xludf.DUMMYFUNCTION("""COMPUTED_VALUE"""),44627.66666666667)</f>
        <v>44627.66667</v>
      </c>
      <c r="B723" s="2">
        <f>IFERROR(__xludf.DUMMYFUNCTION("""COMPUTED_VALUE"""),268.19)</f>
        <v>268.19</v>
      </c>
      <c r="C723" s="3">
        <v>293.046748288492</v>
      </c>
    </row>
    <row r="724">
      <c r="A724" s="1">
        <f>IFERROR(__xludf.DUMMYFUNCTION("""COMPUTED_VALUE"""),44628.66666666667)</f>
        <v>44628.66667</v>
      </c>
      <c r="B724" s="2">
        <f>IFERROR(__xludf.DUMMYFUNCTION("""COMPUTED_VALUE"""),274.8)</f>
        <v>274.8</v>
      </c>
      <c r="C724" s="3">
        <v>291.2927605042</v>
      </c>
    </row>
    <row r="725">
      <c r="A725" s="1">
        <f>IFERROR(__xludf.DUMMYFUNCTION("""COMPUTED_VALUE"""),44629.66666666667)</f>
        <v>44629.66667</v>
      </c>
      <c r="B725" s="2">
        <f>IFERROR(__xludf.DUMMYFUNCTION("""COMPUTED_VALUE"""),286.32)</f>
        <v>286.32</v>
      </c>
      <c r="C725" s="3">
        <v>291.048828180703</v>
      </c>
    </row>
    <row r="726">
      <c r="A726" s="1">
        <f>IFERROR(__xludf.DUMMYFUNCTION("""COMPUTED_VALUE"""),44630.66666666667)</f>
        <v>44630.66667</v>
      </c>
      <c r="B726" s="2">
        <f>IFERROR(__xludf.DUMMYFUNCTION("""COMPUTED_VALUE"""),279.43)</f>
        <v>279.43</v>
      </c>
      <c r="C726" s="3">
        <v>289.84501262456</v>
      </c>
    </row>
    <row r="727">
      <c r="A727" s="1">
        <f>IFERROR(__xludf.DUMMYFUNCTION("""COMPUTED_VALUE"""),44631.66666666667)</f>
        <v>44631.66667</v>
      </c>
      <c r="B727" s="2">
        <f>IFERROR(__xludf.DUMMYFUNCTION("""COMPUTED_VALUE"""),265.12)</f>
        <v>265.12</v>
      </c>
      <c r="C727" s="3">
        <v>289.192611638059</v>
      </c>
    </row>
    <row r="728">
      <c r="A728" s="1">
        <f>IFERROR(__xludf.DUMMYFUNCTION("""COMPUTED_VALUE"""),44634.66666666667)</f>
        <v>44634.66667</v>
      </c>
      <c r="B728" s="2">
        <f>IFERROR(__xludf.DUMMYFUNCTION("""COMPUTED_VALUE"""),255.46)</f>
        <v>255.46</v>
      </c>
      <c r="C728" s="3">
        <v>290.993035399095</v>
      </c>
    </row>
    <row r="729">
      <c r="A729" s="1">
        <f>IFERROR(__xludf.DUMMYFUNCTION("""COMPUTED_VALUE"""),44635.66666666667)</f>
        <v>44635.66667</v>
      </c>
      <c r="B729" s="2">
        <f>IFERROR(__xludf.DUMMYFUNCTION("""COMPUTED_VALUE"""),267.3)</f>
        <v>267.3</v>
      </c>
      <c r="C729" s="3">
        <v>290.422056244604</v>
      </c>
    </row>
    <row r="730">
      <c r="A730" s="1">
        <f>IFERROR(__xludf.DUMMYFUNCTION("""COMPUTED_VALUE"""),44636.66666666667)</f>
        <v>44636.66667</v>
      </c>
      <c r="B730" s="2">
        <f>IFERROR(__xludf.DUMMYFUNCTION("""COMPUTED_VALUE"""),280.08)</f>
        <v>280.08</v>
      </c>
      <c r="C730" s="3">
        <v>291.28454504971</v>
      </c>
    </row>
    <row r="731">
      <c r="A731" s="1">
        <f>IFERROR(__xludf.DUMMYFUNCTION("""COMPUTED_VALUE"""),44637.66666666667)</f>
        <v>44637.66667</v>
      </c>
      <c r="B731" s="2">
        <f>IFERROR(__xludf.DUMMYFUNCTION("""COMPUTED_VALUE"""),290.53)</f>
        <v>290.53</v>
      </c>
      <c r="C731" s="3">
        <v>291.08284026298</v>
      </c>
    </row>
    <row r="732">
      <c r="A732" s="1">
        <f>IFERROR(__xludf.DUMMYFUNCTION("""COMPUTED_VALUE"""),44638.66666666667)</f>
        <v>44638.66667</v>
      </c>
      <c r="B732" s="2">
        <f>IFERROR(__xludf.DUMMYFUNCTION("""COMPUTED_VALUE"""),301.8)</f>
        <v>301.8</v>
      </c>
      <c r="C732" s="3">
        <v>291.30345429583</v>
      </c>
    </row>
    <row r="733">
      <c r="A733" s="1">
        <f>IFERROR(__xludf.DUMMYFUNCTION("""COMPUTED_VALUE"""),44641.66666666667)</f>
        <v>44641.66667</v>
      </c>
      <c r="B733" s="2">
        <f>IFERROR(__xludf.DUMMYFUNCTION("""COMPUTED_VALUE"""),307.05)</f>
        <v>307.05</v>
      </c>
      <c r="C733" s="3">
        <v>295.743800920837</v>
      </c>
    </row>
    <row r="734">
      <c r="A734" s="1">
        <f>IFERROR(__xludf.DUMMYFUNCTION("""COMPUTED_VALUE"""),44642.66666666667)</f>
        <v>44642.66667</v>
      </c>
      <c r="B734" s="2">
        <f>IFERROR(__xludf.DUMMYFUNCTION("""COMPUTED_VALUE"""),331.33)</f>
        <v>331.33</v>
      </c>
      <c r="C734" s="3">
        <v>295.687014109165</v>
      </c>
    </row>
    <row r="735">
      <c r="A735" s="1">
        <f>IFERROR(__xludf.DUMMYFUNCTION("""COMPUTED_VALUE"""),44643.66666666667)</f>
        <v>44643.66667</v>
      </c>
      <c r="B735" s="2">
        <f>IFERROR(__xludf.DUMMYFUNCTION("""COMPUTED_VALUE"""),333.04)</f>
        <v>333.04</v>
      </c>
      <c r="C735" s="3">
        <v>296.870453324248</v>
      </c>
    </row>
    <row r="736">
      <c r="A736" s="1">
        <f>IFERROR(__xludf.DUMMYFUNCTION("""COMPUTED_VALUE"""),44644.66666666667)</f>
        <v>44644.66667</v>
      </c>
      <c r="B736" s="2">
        <f>IFERROR(__xludf.DUMMYFUNCTION("""COMPUTED_VALUE"""),337.97)</f>
        <v>337.97</v>
      </c>
      <c r="C736" s="3">
        <v>296.797168531987</v>
      </c>
    </row>
    <row r="737">
      <c r="A737" s="1">
        <f>IFERROR(__xludf.DUMMYFUNCTION("""COMPUTED_VALUE"""),44645.66666666667)</f>
        <v>44645.66667</v>
      </c>
      <c r="B737" s="2">
        <f>IFERROR(__xludf.DUMMYFUNCTION("""COMPUTED_VALUE"""),336.88)</f>
        <v>336.88</v>
      </c>
      <c r="C737" s="3">
        <v>296.958868636484</v>
      </c>
    </row>
    <row r="738">
      <c r="A738" s="1">
        <f>IFERROR(__xludf.DUMMYFUNCTION("""COMPUTED_VALUE"""),44648.66666666667)</f>
        <v>44648.66667</v>
      </c>
      <c r="B738" s="2">
        <f>IFERROR(__xludf.DUMMYFUNCTION("""COMPUTED_VALUE"""),363.95)</f>
        <v>363.95</v>
      </c>
      <c r="C738" s="3">
        <v>300.211788313676</v>
      </c>
    </row>
    <row r="739">
      <c r="A739" s="1">
        <f>IFERROR(__xludf.DUMMYFUNCTION("""COMPUTED_VALUE"""),44649.66666666667)</f>
        <v>44649.66667</v>
      </c>
      <c r="B739" s="2">
        <f>IFERROR(__xludf.DUMMYFUNCTION("""COMPUTED_VALUE"""),366.52)</f>
        <v>366.52</v>
      </c>
      <c r="C739" s="3">
        <v>299.477620748482</v>
      </c>
    </row>
    <row r="740">
      <c r="A740" s="1">
        <f>IFERROR(__xludf.DUMMYFUNCTION("""COMPUTED_VALUE"""),44650.66666666667)</f>
        <v>44650.66667</v>
      </c>
      <c r="B740" s="2">
        <f>IFERROR(__xludf.DUMMYFUNCTION("""COMPUTED_VALUE"""),364.66)</f>
        <v>364.66</v>
      </c>
      <c r="C740" s="3">
        <v>299.877494380584</v>
      </c>
    </row>
    <row r="741">
      <c r="A741" s="1">
        <f>IFERROR(__xludf.DUMMYFUNCTION("""COMPUTED_VALUE"""),44651.66666666667)</f>
        <v>44651.66667</v>
      </c>
      <c r="B741" s="2">
        <f>IFERROR(__xludf.DUMMYFUNCTION("""COMPUTED_VALUE"""),359.2)</f>
        <v>359.2</v>
      </c>
      <c r="C741" s="3">
        <v>298.938106757309</v>
      </c>
    </row>
    <row r="742">
      <c r="A742" s="1">
        <f>IFERROR(__xludf.DUMMYFUNCTION("""COMPUTED_VALUE"""),44652.66666666667)</f>
        <v>44652.66667</v>
      </c>
      <c r="B742" s="2">
        <f>IFERROR(__xludf.DUMMYFUNCTION("""COMPUTED_VALUE"""),361.53)</f>
        <v>361.53</v>
      </c>
      <c r="C742" s="3">
        <v>298.175813009604</v>
      </c>
    </row>
    <row r="743">
      <c r="A743" s="1">
        <f>IFERROR(__xludf.DUMMYFUNCTION("""COMPUTED_VALUE"""),44655.66666666667)</f>
        <v>44655.66667</v>
      </c>
      <c r="B743" s="2">
        <f>IFERROR(__xludf.DUMMYFUNCTION("""COMPUTED_VALUE"""),381.82)</f>
        <v>381.82</v>
      </c>
      <c r="C743" s="3">
        <v>298.556579949149</v>
      </c>
    </row>
    <row r="744">
      <c r="A744" s="1">
        <f>IFERROR(__xludf.DUMMYFUNCTION("""COMPUTED_VALUE"""),44656.66666666667)</f>
        <v>44656.66667</v>
      </c>
      <c r="B744" s="2">
        <f>IFERROR(__xludf.DUMMYFUNCTION("""COMPUTED_VALUE"""),363.75)</f>
        <v>363.75</v>
      </c>
      <c r="C744" s="3">
        <v>296.909684955083</v>
      </c>
    </row>
    <row r="745">
      <c r="A745" s="1">
        <f>IFERROR(__xludf.DUMMYFUNCTION("""COMPUTED_VALUE"""),44657.66666666667)</f>
        <v>44657.66667</v>
      </c>
      <c r="B745" s="2">
        <f>IFERROR(__xludf.DUMMYFUNCTION("""COMPUTED_VALUE"""),348.59)</f>
        <v>348.59</v>
      </c>
      <c r="C745" s="3">
        <v>296.453912459188</v>
      </c>
    </row>
    <row r="746">
      <c r="A746" s="1">
        <f>IFERROR(__xludf.DUMMYFUNCTION("""COMPUTED_VALUE"""),44658.66666666667)</f>
        <v>44658.66667</v>
      </c>
      <c r="B746" s="2">
        <f>IFERROR(__xludf.DUMMYFUNCTION("""COMPUTED_VALUE"""),352.42)</f>
        <v>352.42</v>
      </c>
      <c r="C746" s="3">
        <v>294.733162700098</v>
      </c>
    </row>
    <row r="747">
      <c r="A747" s="1">
        <f>IFERROR(__xludf.DUMMYFUNCTION("""COMPUTED_VALUE"""),44659.66666666667)</f>
        <v>44659.66667</v>
      </c>
      <c r="B747" s="2">
        <f>IFERROR(__xludf.DUMMYFUNCTION("""COMPUTED_VALUE"""),341.83)</f>
        <v>341.83</v>
      </c>
      <c r="C747" s="3">
        <v>293.277983519341</v>
      </c>
    </row>
    <row r="748">
      <c r="A748" s="1">
        <f>IFERROR(__xludf.DUMMYFUNCTION("""COMPUTED_VALUE"""),44662.66666666667)</f>
        <v>44662.66667</v>
      </c>
      <c r="B748" s="2">
        <f>IFERROR(__xludf.DUMMYFUNCTION("""COMPUTED_VALUE"""),325.31)</f>
        <v>325.31</v>
      </c>
      <c r="C748" s="3">
        <v>292.202366275893</v>
      </c>
    </row>
    <row r="749">
      <c r="A749" s="1">
        <f>IFERROR(__xludf.DUMMYFUNCTION("""COMPUTED_VALUE"""),44663.66666666667)</f>
        <v>44663.66667</v>
      </c>
      <c r="B749" s="2">
        <f>IFERROR(__xludf.DUMMYFUNCTION("""COMPUTED_VALUE"""),328.98)</f>
        <v>328.98</v>
      </c>
      <c r="C749" s="3">
        <v>290.290237422621</v>
      </c>
    </row>
    <row r="750">
      <c r="A750" s="1">
        <f>IFERROR(__xludf.DUMMYFUNCTION("""COMPUTED_VALUE"""),44664.66666666667)</f>
        <v>44664.66667</v>
      </c>
      <c r="B750" s="2">
        <f>IFERROR(__xludf.DUMMYFUNCTION("""COMPUTED_VALUE"""),340.79)</f>
        <v>340.79</v>
      </c>
      <c r="C750" s="3">
        <v>289.676985141994</v>
      </c>
    </row>
    <row r="751">
      <c r="A751" s="1">
        <f>IFERROR(__xludf.DUMMYFUNCTION("""COMPUTED_VALUE"""),44665.66666666667)</f>
        <v>44665.66667</v>
      </c>
      <c r="B751" s="2">
        <f>IFERROR(__xludf.DUMMYFUNCTION("""COMPUTED_VALUE"""),328.33)</f>
        <v>328.33</v>
      </c>
      <c r="C751" s="3">
        <v>287.900162745705</v>
      </c>
    </row>
    <row r="752">
      <c r="A752" s="1">
        <f>IFERROR(__xludf.DUMMYFUNCTION("""COMPUTED_VALUE"""),44669.66666666667)</f>
        <v>44669.66667</v>
      </c>
      <c r="B752" s="2">
        <f>IFERROR(__xludf.DUMMYFUNCTION("""COMPUTED_VALUE"""),334.76)</f>
        <v>334.76</v>
      </c>
      <c r="C752" s="3">
        <v>285.939391291562</v>
      </c>
    </row>
    <row r="753">
      <c r="A753" s="1">
        <f>IFERROR(__xludf.DUMMYFUNCTION("""COMPUTED_VALUE"""),44670.66666666667)</f>
        <v>44670.66667</v>
      </c>
      <c r="B753" s="2">
        <f>IFERROR(__xludf.DUMMYFUNCTION("""COMPUTED_VALUE"""),342.72)</f>
        <v>342.72</v>
      </c>
      <c r="C753" s="3">
        <v>284.296446761238</v>
      </c>
    </row>
    <row r="754">
      <c r="A754" s="1">
        <f>IFERROR(__xludf.DUMMYFUNCTION("""COMPUTED_VALUE"""),44671.66666666667)</f>
        <v>44671.66667</v>
      </c>
      <c r="B754" s="2">
        <f>IFERROR(__xludf.DUMMYFUNCTION("""COMPUTED_VALUE"""),325.73)</f>
        <v>325.73</v>
      </c>
      <c r="C754" s="3">
        <v>283.970388297692</v>
      </c>
    </row>
    <row r="755">
      <c r="A755" s="1">
        <f>IFERROR(__xludf.DUMMYFUNCTION("""COMPUTED_VALUE"""),44672.66666666667)</f>
        <v>44672.66667</v>
      </c>
      <c r="B755" s="2">
        <f>IFERROR(__xludf.DUMMYFUNCTION("""COMPUTED_VALUE"""),336.26)</f>
        <v>336.26</v>
      </c>
      <c r="C755" s="3">
        <v>282.482027164848</v>
      </c>
    </row>
    <row r="756">
      <c r="A756" s="1">
        <f>IFERROR(__xludf.DUMMYFUNCTION("""COMPUTED_VALUE"""),44673.66666666667)</f>
        <v>44673.66667</v>
      </c>
      <c r="B756" s="2">
        <f>IFERROR(__xludf.DUMMYFUNCTION("""COMPUTED_VALUE"""),335.02)</f>
        <v>335.02</v>
      </c>
      <c r="C756" s="3">
        <v>281.336569601489</v>
      </c>
    </row>
    <row r="757">
      <c r="A757" s="1">
        <f>IFERROR(__xludf.DUMMYFUNCTION("""COMPUTED_VALUE"""),44676.66666666667)</f>
        <v>44676.66667</v>
      </c>
      <c r="B757" s="2">
        <f>IFERROR(__xludf.DUMMYFUNCTION("""COMPUTED_VALUE"""),332.67)</f>
        <v>332.67</v>
      </c>
      <c r="C757" s="3">
        <v>281.385944018245</v>
      </c>
    </row>
    <row r="758">
      <c r="A758" s="1">
        <f>IFERROR(__xludf.DUMMYFUNCTION("""COMPUTED_VALUE"""),44677.66666666667)</f>
        <v>44677.66667</v>
      </c>
      <c r="B758" s="2">
        <f>IFERROR(__xludf.DUMMYFUNCTION("""COMPUTED_VALUE"""),292.14)</f>
        <v>292.14</v>
      </c>
      <c r="C758" s="3">
        <v>279.826164360672</v>
      </c>
    </row>
    <row r="759">
      <c r="A759" s="1">
        <f>IFERROR(__xludf.DUMMYFUNCTION("""COMPUTED_VALUE"""),44678.66666666667)</f>
        <v>44678.66667</v>
      </c>
      <c r="B759" s="2">
        <f>IFERROR(__xludf.DUMMYFUNCTION("""COMPUTED_VALUE"""),293.84)</f>
        <v>293.84</v>
      </c>
      <c r="C759" s="3">
        <v>279.513759342135</v>
      </c>
    </row>
    <row r="760">
      <c r="A760" s="1">
        <f>IFERROR(__xludf.DUMMYFUNCTION("""COMPUTED_VALUE"""),44679.66666666667)</f>
        <v>44679.66667</v>
      </c>
      <c r="B760" s="2">
        <f>IFERROR(__xludf.DUMMYFUNCTION("""COMPUTED_VALUE"""),292.5)</f>
        <v>292.5</v>
      </c>
      <c r="C760" s="3">
        <v>277.966099522406</v>
      </c>
    </row>
    <row r="761">
      <c r="A761" s="1">
        <f>IFERROR(__xludf.DUMMYFUNCTION("""COMPUTED_VALUE"""),44680.66666666667)</f>
        <v>44680.66667</v>
      </c>
      <c r="B761" s="2">
        <f>IFERROR(__xludf.DUMMYFUNCTION("""COMPUTED_VALUE"""),290.25)</f>
        <v>290.25</v>
      </c>
      <c r="C761" s="3">
        <v>276.687852668904</v>
      </c>
    </row>
    <row r="762">
      <c r="A762" s="1">
        <f>IFERROR(__xludf.DUMMYFUNCTION("""COMPUTED_VALUE"""),44683.66666666667)</f>
        <v>44683.66667</v>
      </c>
      <c r="B762" s="2">
        <f>IFERROR(__xludf.DUMMYFUNCTION("""COMPUTED_VALUE"""),300.98)</f>
        <v>300.98</v>
      </c>
      <c r="C762" s="3">
        <v>275.935333150193</v>
      </c>
    </row>
    <row r="763">
      <c r="A763" s="1">
        <f>IFERROR(__xludf.DUMMYFUNCTION("""COMPUTED_VALUE"""),44684.66666666667)</f>
        <v>44684.66667</v>
      </c>
      <c r="B763" s="2">
        <f>IFERROR(__xludf.DUMMYFUNCTION("""COMPUTED_VALUE"""),303.08)</f>
        <v>303.08</v>
      </c>
      <c r="C763" s="3">
        <v>273.999426960158</v>
      </c>
    </row>
    <row r="764">
      <c r="A764" s="1">
        <f>IFERROR(__xludf.DUMMYFUNCTION("""COMPUTED_VALUE"""),44685.66666666667)</f>
        <v>44685.66667</v>
      </c>
      <c r="B764" s="2">
        <f>IFERROR(__xludf.DUMMYFUNCTION("""COMPUTED_VALUE"""),317.54)</f>
        <v>317.54</v>
      </c>
      <c r="C764" s="3">
        <v>273.275021627519</v>
      </c>
    </row>
    <row r="765">
      <c r="A765" s="1">
        <f>IFERROR(__xludf.DUMMYFUNCTION("""COMPUTED_VALUE"""),44686.66666666667)</f>
        <v>44686.66667</v>
      </c>
      <c r="B765" s="2">
        <f>IFERROR(__xludf.DUMMYFUNCTION("""COMPUTED_VALUE"""),291.09)</f>
        <v>291.09</v>
      </c>
      <c r="C765" s="3">
        <v>271.293297180192</v>
      </c>
    </row>
    <row r="766">
      <c r="A766" s="1">
        <f>IFERROR(__xludf.DUMMYFUNCTION("""COMPUTED_VALUE"""),44687.66666666667)</f>
        <v>44687.66667</v>
      </c>
      <c r="B766" s="2">
        <f>IFERROR(__xludf.DUMMYFUNCTION("""COMPUTED_VALUE"""),288.55)</f>
        <v>288.55</v>
      </c>
      <c r="C766" s="3">
        <v>269.573928735158</v>
      </c>
    </row>
    <row r="767">
      <c r="A767" s="1">
        <f>IFERROR(__xludf.DUMMYFUNCTION("""COMPUTED_VALUE"""),44690.66666666667)</f>
        <v>44690.66667</v>
      </c>
      <c r="B767" s="2">
        <f>IFERROR(__xludf.DUMMYFUNCTION("""COMPUTED_VALUE"""),262.37)</f>
        <v>262.37</v>
      </c>
      <c r="C767" s="3">
        <v>267.613672021378</v>
      </c>
    </row>
    <row r="768">
      <c r="A768" s="1">
        <f>IFERROR(__xludf.DUMMYFUNCTION("""COMPUTED_VALUE"""),44691.66666666667)</f>
        <v>44691.66667</v>
      </c>
      <c r="B768" s="2">
        <f>IFERROR(__xludf.DUMMYFUNCTION("""COMPUTED_VALUE"""),266.68)</f>
        <v>266.68</v>
      </c>
      <c r="C768" s="3">
        <v>265.365555971067</v>
      </c>
    </row>
    <row r="769">
      <c r="A769" s="1">
        <f>IFERROR(__xludf.DUMMYFUNCTION("""COMPUTED_VALUE"""),44692.66666666667)</f>
        <v>44692.66667</v>
      </c>
      <c r="B769" s="2">
        <f>IFERROR(__xludf.DUMMYFUNCTION("""COMPUTED_VALUE"""),244.67)</f>
        <v>244.67</v>
      </c>
      <c r="C769" s="3">
        <v>264.39792997551</v>
      </c>
    </row>
    <row r="770">
      <c r="A770" s="1">
        <f>IFERROR(__xludf.DUMMYFUNCTION("""COMPUTED_VALUE"""),44693.66666666667)</f>
        <v>44693.66667</v>
      </c>
      <c r="B770" s="2">
        <f>IFERROR(__xludf.DUMMYFUNCTION("""COMPUTED_VALUE"""),242.67)</f>
        <v>242.67</v>
      </c>
      <c r="C770" s="3">
        <v>262.254049165633</v>
      </c>
    </row>
    <row r="771">
      <c r="A771" s="1">
        <f>IFERROR(__xludf.DUMMYFUNCTION("""COMPUTED_VALUE"""),44694.66666666667)</f>
        <v>44694.66667</v>
      </c>
      <c r="B771" s="2">
        <f>IFERROR(__xludf.DUMMYFUNCTION("""COMPUTED_VALUE"""),256.53)</f>
        <v>256.53</v>
      </c>
      <c r="C771" s="3">
        <v>260.463644739951</v>
      </c>
    </row>
    <row r="772">
      <c r="A772" s="1">
        <f>IFERROR(__xludf.DUMMYFUNCTION("""COMPUTED_VALUE"""),44697.66666666667)</f>
        <v>44697.66667</v>
      </c>
      <c r="B772" s="2">
        <f>IFERROR(__xludf.DUMMYFUNCTION("""COMPUTED_VALUE"""),241.46)</f>
        <v>241.46</v>
      </c>
      <c r="C772" s="3">
        <v>258.901196514336</v>
      </c>
    </row>
    <row r="773">
      <c r="A773" s="1">
        <f>IFERROR(__xludf.DUMMYFUNCTION("""COMPUTED_VALUE"""),44698.66666666667)</f>
        <v>44698.66667</v>
      </c>
      <c r="B773" s="2">
        <f>IFERROR(__xludf.DUMMYFUNCTION("""COMPUTED_VALUE"""),253.87)</f>
        <v>253.87</v>
      </c>
      <c r="C773" s="3">
        <v>256.99725880995</v>
      </c>
    </row>
    <row r="774">
      <c r="A774" s="1">
        <f>IFERROR(__xludf.DUMMYFUNCTION("""COMPUTED_VALUE"""),44699.66666666667)</f>
        <v>44699.66667</v>
      </c>
      <c r="B774" s="2">
        <f>IFERROR(__xludf.DUMMYFUNCTION("""COMPUTED_VALUE"""),236.6)</f>
        <v>236.6</v>
      </c>
      <c r="C774" s="3">
        <v>256.476540498991</v>
      </c>
    </row>
    <row r="775">
      <c r="A775" s="1">
        <f>IFERROR(__xludf.DUMMYFUNCTION("""COMPUTED_VALUE"""),44700.66666666667)</f>
        <v>44700.66667</v>
      </c>
      <c r="B775" s="2">
        <f>IFERROR(__xludf.DUMMYFUNCTION("""COMPUTED_VALUE"""),236.47)</f>
        <v>236.47</v>
      </c>
      <c r="C775" s="3">
        <v>254.876298867255</v>
      </c>
    </row>
    <row r="776">
      <c r="A776" s="1">
        <f>IFERROR(__xludf.DUMMYFUNCTION("""COMPUTED_VALUE"""),44701.66666666667)</f>
        <v>44701.66667</v>
      </c>
      <c r="B776" s="2">
        <f>IFERROR(__xludf.DUMMYFUNCTION("""COMPUTED_VALUE"""),221.3)</f>
        <v>221.3</v>
      </c>
      <c r="C776" s="3">
        <v>253.717678781691</v>
      </c>
    </row>
    <row r="777">
      <c r="A777" s="1">
        <f>IFERROR(__xludf.DUMMYFUNCTION("""COMPUTED_VALUE"""),44704.66666666667)</f>
        <v>44704.66667</v>
      </c>
      <c r="B777" s="2">
        <f>IFERROR(__xludf.DUMMYFUNCTION("""COMPUTED_VALUE"""),224.97)</f>
        <v>224.97</v>
      </c>
      <c r="C777" s="3">
        <v>254.460142919957</v>
      </c>
    </row>
    <row r="778">
      <c r="A778" s="1">
        <f>IFERROR(__xludf.DUMMYFUNCTION("""COMPUTED_VALUE"""),44705.66666666667)</f>
        <v>44705.66667</v>
      </c>
      <c r="B778" s="2">
        <f>IFERROR(__xludf.DUMMYFUNCTION("""COMPUTED_VALUE"""),209.39)</f>
        <v>209.39</v>
      </c>
      <c r="C778" s="3">
        <v>253.412474874228</v>
      </c>
    </row>
    <row r="779">
      <c r="A779" s="1">
        <f>IFERROR(__xludf.DUMMYFUNCTION("""COMPUTED_VALUE"""),44706.66666666667)</f>
        <v>44706.66667</v>
      </c>
      <c r="B779" s="2">
        <f>IFERROR(__xludf.DUMMYFUNCTION("""COMPUTED_VALUE"""),219.6)</f>
        <v>219.6</v>
      </c>
      <c r="C779" s="3">
        <v>253.764746524008</v>
      </c>
    </row>
    <row r="780">
      <c r="A780" s="1">
        <f>IFERROR(__xludf.DUMMYFUNCTION("""COMPUTED_VALUE"""),44707.66666666667)</f>
        <v>44707.66667</v>
      </c>
      <c r="B780" s="2">
        <f>IFERROR(__xludf.DUMMYFUNCTION("""COMPUTED_VALUE"""),235.91)</f>
        <v>235.91</v>
      </c>
      <c r="C780" s="3">
        <v>253.037001092071</v>
      </c>
    </row>
    <row r="781">
      <c r="A781" s="1">
        <f>IFERROR(__xludf.DUMMYFUNCTION("""COMPUTED_VALUE"""),44708.66666666667)</f>
        <v>44708.66667</v>
      </c>
      <c r="B781" s="2">
        <f>IFERROR(__xludf.DUMMYFUNCTION("""COMPUTED_VALUE"""),253.21)</f>
        <v>253.21</v>
      </c>
      <c r="C781" s="3">
        <v>252.733250381998</v>
      </c>
    </row>
    <row r="782">
      <c r="A782" s="1">
        <f>IFERROR(__xludf.DUMMYFUNCTION("""COMPUTED_VALUE"""),44712.66666666667)</f>
        <v>44712.66667</v>
      </c>
      <c r="B782" s="2">
        <f>IFERROR(__xludf.DUMMYFUNCTION("""COMPUTED_VALUE"""),252.75)</f>
        <v>252.75</v>
      </c>
      <c r="C782" s="3">
        <v>255.356728902439</v>
      </c>
    </row>
    <row r="783">
      <c r="A783" s="1">
        <f>IFERROR(__xludf.DUMMYFUNCTION("""COMPUTED_VALUE"""),44713.66666666667)</f>
        <v>44713.66667</v>
      </c>
      <c r="B783" s="2">
        <f>IFERROR(__xludf.DUMMYFUNCTION("""COMPUTED_VALUE"""),246.79)</f>
        <v>246.79</v>
      </c>
      <c r="C783" s="3">
        <v>256.252575649676</v>
      </c>
    </row>
    <row r="784">
      <c r="A784" s="1">
        <f>IFERROR(__xludf.DUMMYFUNCTION("""COMPUTED_VALUE"""),44714.66666666667)</f>
        <v>44714.66667</v>
      </c>
      <c r="B784" s="2">
        <f>IFERROR(__xludf.DUMMYFUNCTION("""COMPUTED_VALUE"""),258.33)</f>
        <v>258.33</v>
      </c>
      <c r="C784" s="3">
        <v>255.973597931877</v>
      </c>
    </row>
    <row r="785">
      <c r="A785" s="1">
        <f>IFERROR(__xludf.DUMMYFUNCTION("""COMPUTED_VALUE"""),44715.66666666667)</f>
        <v>44715.66667</v>
      </c>
      <c r="B785" s="2">
        <f>IFERROR(__xludf.DUMMYFUNCTION("""COMPUTED_VALUE"""),234.52)</f>
        <v>234.52</v>
      </c>
      <c r="C785" s="3">
        <v>256.01831732225</v>
      </c>
    </row>
    <row r="786">
      <c r="A786" s="1">
        <f>IFERROR(__xludf.DUMMYFUNCTION("""COMPUTED_VALUE"""),44718.66666666667)</f>
        <v>44718.66667</v>
      </c>
      <c r="B786" s="2">
        <f>IFERROR(__xludf.DUMMYFUNCTION("""COMPUTED_VALUE"""),238.28)</f>
        <v>238.28</v>
      </c>
      <c r="C786" s="3">
        <v>259.487421865206</v>
      </c>
    </row>
    <row r="787">
      <c r="A787" s="1">
        <f>IFERROR(__xludf.DUMMYFUNCTION("""COMPUTED_VALUE"""),44719.66666666667)</f>
        <v>44719.66667</v>
      </c>
      <c r="B787" s="2">
        <f>IFERROR(__xludf.DUMMYFUNCTION("""COMPUTED_VALUE"""),238.89)</f>
        <v>238.89</v>
      </c>
      <c r="C787" s="3">
        <v>259.015206427218</v>
      </c>
    </row>
    <row r="788">
      <c r="A788" s="1">
        <f>IFERROR(__xludf.DUMMYFUNCTION("""COMPUTED_VALUE"""),44720.66666666667)</f>
        <v>44720.66667</v>
      </c>
      <c r="B788" s="2">
        <f>IFERROR(__xludf.DUMMYFUNCTION("""COMPUTED_VALUE"""),241.87)</f>
        <v>241.87</v>
      </c>
      <c r="C788" s="3">
        <v>259.76743841645</v>
      </c>
    </row>
    <row r="789">
      <c r="A789" s="1">
        <f>IFERROR(__xludf.DUMMYFUNCTION("""COMPUTED_VALUE"""),44721.66666666667)</f>
        <v>44721.66667</v>
      </c>
      <c r="B789" s="2">
        <f>IFERROR(__xludf.DUMMYFUNCTION("""COMPUTED_VALUE"""),239.71)</f>
        <v>239.71</v>
      </c>
      <c r="C789" s="3">
        <v>259.265504851265</v>
      </c>
    </row>
    <row r="790">
      <c r="A790" s="1">
        <f>IFERROR(__xludf.DUMMYFUNCTION("""COMPUTED_VALUE"""),44722.66666666667)</f>
        <v>44722.66667</v>
      </c>
      <c r="B790" s="2">
        <f>IFERROR(__xludf.DUMMYFUNCTION("""COMPUTED_VALUE"""),232.23)</f>
        <v>232.23</v>
      </c>
      <c r="C790" s="3">
        <v>259.019061610732</v>
      </c>
    </row>
    <row r="791">
      <c r="A791" s="1">
        <f>IFERROR(__xludf.DUMMYFUNCTION("""COMPUTED_VALUE"""),44725.66666666667)</f>
        <v>44725.66667</v>
      </c>
      <c r="B791" s="2">
        <f>IFERROR(__xludf.DUMMYFUNCTION("""COMPUTED_VALUE"""),215.74)</f>
        <v>215.74</v>
      </c>
      <c r="C791" s="3">
        <v>261.3359456095</v>
      </c>
    </row>
    <row r="792">
      <c r="A792" s="1">
        <f>IFERROR(__xludf.DUMMYFUNCTION("""COMPUTED_VALUE"""),44726.66666666667)</f>
        <v>44726.66667</v>
      </c>
      <c r="B792" s="2">
        <f>IFERROR(__xludf.DUMMYFUNCTION("""COMPUTED_VALUE"""),220.89)</f>
        <v>220.89</v>
      </c>
      <c r="C792" s="3">
        <v>260.433864853384</v>
      </c>
    </row>
    <row r="793">
      <c r="A793" s="1">
        <f>IFERROR(__xludf.DUMMYFUNCTION("""COMPUTED_VALUE"""),44727.66666666667)</f>
        <v>44727.66667</v>
      </c>
      <c r="B793" s="2">
        <f>IFERROR(__xludf.DUMMYFUNCTION("""COMPUTED_VALUE"""),233.0)</f>
        <v>233</v>
      </c>
      <c r="C793" s="3">
        <v>260.757257746088</v>
      </c>
    </row>
    <row r="794">
      <c r="A794" s="1">
        <f>IFERROR(__xludf.DUMMYFUNCTION("""COMPUTED_VALUE"""),44728.66666666667)</f>
        <v>44728.66667</v>
      </c>
      <c r="B794" s="2">
        <f>IFERROR(__xludf.DUMMYFUNCTION("""COMPUTED_VALUE"""),213.1)</f>
        <v>213.1</v>
      </c>
      <c r="C794" s="3">
        <v>259.841222891822</v>
      </c>
    </row>
    <row r="795">
      <c r="A795" s="1">
        <f>IFERROR(__xludf.DUMMYFUNCTION("""COMPUTED_VALUE"""),44729.66666666667)</f>
        <v>44729.66667</v>
      </c>
      <c r="B795" s="2">
        <f>IFERROR(__xludf.DUMMYFUNCTION("""COMPUTED_VALUE"""),216.76)</f>
        <v>216.76</v>
      </c>
      <c r="C795" s="3">
        <v>259.208161101449</v>
      </c>
    </row>
    <row r="796">
      <c r="A796" s="1">
        <f>IFERROR(__xludf.DUMMYFUNCTION("""COMPUTED_VALUE"""),44733.66666666667)</f>
        <v>44733.66667</v>
      </c>
      <c r="B796" s="2">
        <f>IFERROR(__xludf.DUMMYFUNCTION("""COMPUTED_VALUE"""),237.04)</f>
        <v>237.04</v>
      </c>
      <c r="C796" s="3">
        <v>259.554566825567</v>
      </c>
    </row>
    <row r="797">
      <c r="A797" s="1">
        <f>IFERROR(__xludf.DUMMYFUNCTION("""COMPUTED_VALUE"""),44734.66666666667)</f>
        <v>44734.66667</v>
      </c>
      <c r="B797" s="2">
        <f>IFERROR(__xludf.DUMMYFUNCTION("""COMPUTED_VALUE"""),236.09)</f>
        <v>236.09</v>
      </c>
      <c r="C797" s="3">
        <v>259.764899532151</v>
      </c>
    </row>
    <row r="798">
      <c r="A798" s="1">
        <f>IFERROR(__xludf.DUMMYFUNCTION("""COMPUTED_VALUE"""),44735.66666666667)</f>
        <v>44735.66667</v>
      </c>
      <c r="B798" s="2">
        <f>IFERROR(__xludf.DUMMYFUNCTION("""COMPUTED_VALUE"""),235.07)</f>
        <v>235.07</v>
      </c>
      <c r="C798" s="3">
        <v>258.803860568104</v>
      </c>
    </row>
    <row r="799">
      <c r="A799" s="1">
        <f>IFERROR(__xludf.DUMMYFUNCTION("""COMPUTED_VALUE"""),44736.66666666667)</f>
        <v>44736.66667</v>
      </c>
      <c r="B799" s="2">
        <f>IFERROR(__xludf.DUMMYFUNCTION("""COMPUTED_VALUE"""),245.71)</f>
        <v>245.71</v>
      </c>
      <c r="C799" s="3">
        <v>258.193232827206</v>
      </c>
    </row>
    <row r="800">
      <c r="A800" s="1">
        <f>IFERROR(__xludf.DUMMYFUNCTION("""COMPUTED_VALUE"""),44739.66666666667)</f>
        <v>44739.66667</v>
      </c>
      <c r="B800" s="2">
        <f>IFERROR(__xludf.DUMMYFUNCTION("""COMPUTED_VALUE"""),244.92)</f>
        <v>244.92</v>
      </c>
      <c r="C800" s="3">
        <v>260.056021870719</v>
      </c>
    </row>
    <row r="801">
      <c r="A801" s="1">
        <f>IFERROR(__xludf.DUMMYFUNCTION("""COMPUTED_VALUE"""),44740.66666666667)</f>
        <v>44740.66667</v>
      </c>
      <c r="B801" s="2">
        <f>IFERROR(__xludf.DUMMYFUNCTION("""COMPUTED_VALUE"""),232.66)</f>
        <v>232.66</v>
      </c>
      <c r="C801" s="3">
        <v>259.220317423392</v>
      </c>
    </row>
    <row r="802">
      <c r="A802" s="1">
        <f>IFERROR(__xludf.DUMMYFUNCTION("""COMPUTED_VALUE"""),44741.66666666667)</f>
        <v>44741.66667</v>
      </c>
      <c r="B802" s="2">
        <f>IFERROR(__xludf.DUMMYFUNCTION("""COMPUTED_VALUE"""),228.49)</f>
        <v>228.49</v>
      </c>
      <c r="C802" s="3">
        <v>259.712587719254</v>
      </c>
    </row>
    <row r="803">
      <c r="A803" s="1">
        <f>IFERROR(__xludf.DUMMYFUNCTION("""COMPUTED_VALUE"""),44742.66666666667)</f>
        <v>44742.66667</v>
      </c>
      <c r="B803" s="2">
        <f>IFERROR(__xludf.DUMMYFUNCTION("""COMPUTED_VALUE"""),224.47)</f>
        <v>224.47</v>
      </c>
      <c r="C803" s="3">
        <v>259.059217865878</v>
      </c>
    </row>
    <row r="804">
      <c r="A804" s="1">
        <f>IFERROR(__xludf.DUMMYFUNCTION("""COMPUTED_VALUE"""),44743.66666666667)</f>
        <v>44743.66667</v>
      </c>
      <c r="B804" s="2">
        <f>IFERROR(__xludf.DUMMYFUNCTION("""COMPUTED_VALUE"""),227.26)</f>
        <v>227.26</v>
      </c>
      <c r="C804" s="3">
        <v>258.771078872344</v>
      </c>
    </row>
    <row r="805">
      <c r="A805" s="1">
        <f>IFERROR(__xludf.DUMMYFUNCTION("""COMPUTED_VALUE"""),44747.66666666667)</f>
        <v>44747.66667</v>
      </c>
      <c r="B805" s="2">
        <f>IFERROR(__xludf.DUMMYFUNCTION("""COMPUTED_VALUE"""),233.07)</f>
        <v>233.07</v>
      </c>
      <c r="C805" s="3">
        <v>261.015883983737</v>
      </c>
    </row>
    <row r="806">
      <c r="A806" s="1">
        <f>IFERROR(__xludf.DUMMYFUNCTION("""COMPUTED_VALUE"""),44748.66666666667)</f>
        <v>44748.66667</v>
      </c>
      <c r="B806" s="2">
        <f>IFERROR(__xludf.DUMMYFUNCTION("""COMPUTED_VALUE"""),231.73)</f>
        <v>231.73</v>
      </c>
      <c r="C806" s="3">
        <v>261.743531457188</v>
      </c>
    </row>
    <row r="807">
      <c r="A807" s="1">
        <f>IFERROR(__xludf.DUMMYFUNCTION("""COMPUTED_VALUE"""),44749.66666666667)</f>
        <v>44749.66667</v>
      </c>
      <c r="B807" s="2">
        <f>IFERROR(__xludf.DUMMYFUNCTION("""COMPUTED_VALUE"""),244.54)</f>
        <v>244.54</v>
      </c>
      <c r="C807" s="3">
        <v>261.280838131777</v>
      </c>
    </row>
    <row r="808">
      <c r="A808" s="1">
        <f>IFERROR(__xludf.DUMMYFUNCTION("""COMPUTED_VALUE"""),44750.66666666667)</f>
        <v>44750.66667</v>
      </c>
      <c r="B808" s="2">
        <f>IFERROR(__xludf.DUMMYFUNCTION("""COMPUTED_VALUE"""),250.76)</f>
        <v>250.76</v>
      </c>
      <c r="C808" s="3">
        <v>261.132483140031</v>
      </c>
    </row>
    <row r="809">
      <c r="A809" s="1">
        <f>IFERROR(__xludf.DUMMYFUNCTION("""COMPUTED_VALUE"""),44753.66666666667)</f>
        <v>44753.66667</v>
      </c>
      <c r="B809" s="2">
        <f>IFERROR(__xludf.DUMMYFUNCTION("""COMPUTED_VALUE"""),234.34)</f>
        <v>234.34</v>
      </c>
      <c r="C809" s="3">
        <v>264.017606227156</v>
      </c>
    </row>
    <row r="810">
      <c r="A810" s="1">
        <f>IFERROR(__xludf.DUMMYFUNCTION("""COMPUTED_VALUE"""),44754.66666666667)</f>
        <v>44754.66667</v>
      </c>
      <c r="B810" s="2">
        <f>IFERROR(__xludf.DUMMYFUNCTION("""COMPUTED_VALUE"""),233.07)</f>
        <v>233.07</v>
      </c>
      <c r="C810" s="3">
        <v>263.362314738665</v>
      </c>
    </row>
    <row r="811">
      <c r="A811" s="1">
        <f>IFERROR(__xludf.DUMMYFUNCTION("""COMPUTED_VALUE"""),44755.66666666667)</f>
        <v>44755.66667</v>
      </c>
      <c r="B811" s="2">
        <f>IFERROR(__xludf.DUMMYFUNCTION("""COMPUTED_VALUE"""),237.04)</f>
        <v>237.04</v>
      </c>
      <c r="C811" s="3">
        <v>263.941679316951</v>
      </c>
    </row>
    <row r="812">
      <c r="A812" s="1">
        <f>IFERROR(__xludf.DUMMYFUNCTION("""COMPUTED_VALUE"""),44756.66666666667)</f>
        <v>44756.66667</v>
      </c>
      <c r="B812" s="2">
        <f>IFERROR(__xludf.DUMMYFUNCTION("""COMPUTED_VALUE"""),238.31)</f>
        <v>238.31</v>
      </c>
      <c r="C812" s="3">
        <v>263.278382564805</v>
      </c>
    </row>
    <row r="813">
      <c r="A813" s="1">
        <f>IFERROR(__xludf.DUMMYFUNCTION("""COMPUTED_VALUE"""),44757.66666666667)</f>
        <v>44757.66667</v>
      </c>
      <c r="B813" s="2">
        <f>IFERROR(__xludf.DUMMYFUNCTION("""COMPUTED_VALUE"""),240.07)</f>
        <v>240.07</v>
      </c>
      <c r="C813" s="3">
        <v>262.882478188757</v>
      </c>
    </row>
    <row r="814">
      <c r="A814" s="1">
        <f>IFERROR(__xludf.DUMMYFUNCTION("""COMPUTED_VALUE"""),44760.66666666667)</f>
        <v>44760.66667</v>
      </c>
      <c r="B814" s="2">
        <f>IFERROR(__xludf.DUMMYFUNCTION("""COMPUTED_VALUE"""),240.55)</f>
        <v>240.55</v>
      </c>
      <c r="C814" s="3">
        <v>264.813705711245</v>
      </c>
    </row>
    <row r="815">
      <c r="A815" s="1">
        <f>IFERROR(__xludf.DUMMYFUNCTION("""COMPUTED_VALUE"""),44761.66666666667)</f>
        <v>44761.66667</v>
      </c>
      <c r="B815" s="2">
        <f>IFERROR(__xludf.DUMMYFUNCTION("""COMPUTED_VALUE"""),245.53)</f>
        <v>245.53</v>
      </c>
      <c r="C815" s="3">
        <v>263.797308500666</v>
      </c>
    </row>
    <row r="816">
      <c r="A816" s="1">
        <f>IFERROR(__xludf.DUMMYFUNCTION("""COMPUTED_VALUE"""),44762.66666666667)</f>
        <v>44762.66667</v>
      </c>
      <c r="B816" s="2">
        <f>IFERROR(__xludf.DUMMYFUNCTION("""COMPUTED_VALUE"""),247.5)</f>
        <v>247.5</v>
      </c>
      <c r="C816" s="3">
        <v>264.008575404632</v>
      </c>
    </row>
    <row r="817">
      <c r="A817" s="1">
        <f>IFERROR(__xludf.DUMMYFUNCTION("""COMPUTED_VALUE"""),44763.66666666667)</f>
        <v>44763.66667</v>
      </c>
      <c r="B817" s="2">
        <f>IFERROR(__xludf.DUMMYFUNCTION("""COMPUTED_VALUE"""),271.71)</f>
        <v>271.71</v>
      </c>
      <c r="C817" s="3">
        <v>262.978911200198</v>
      </c>
    </row>
    <row r="818">
      <c r="A818" s="1">
        <f>IFERROR(__xludf.DUMMYFUNCTION("""COMPUTED_VALUE"""),44764.66666666667)</f>
        <v>44764.66667</v>
      </c>
      <c r="B818" s="2">
        <f>IFERROR(__xludf.DUMMYFUNCTION("""COMPUTED_VALUE"""),272.24)</f>
        <v>272.24</v>
      </c>
      <c r="C818" s="3">
        <v>262.226695270703</v>
      </c>
    </row>
    <row r="819">
      <c r="A819" s="1">
        <f>IFERROR(__xludf.DUMMYFUNCTION("""COMPUTED_VALUE"""),44767.66666666667)</f>
        <v>44767.66667</v>
      </c>
      <c r="B819" s="2">
        <f>IFERROR(__xludf.DUMMYFUNCTION("""COMPUTED_VALUE"""),268.43)</f>
        <v>268.43</v>
      </c>
      <c r="C819" s="3">
        <v>263.221646111059</v>
      </c>
    </row>
    <row r="820">
      <c r="A820" s="1">
        <f>IFERROR(__xludf.DUMMYFUNCTION("""COMPUTED_VALUE"""),44768.66666666667)</f>
        <v>44768.66667</v>
      </c>
      <c r="B820" s="2">
        <f>IFERROR(__xludf.DUMMYFUNCTION("""COMPUTED_VALUE"""),258.86)</f>
        <v>258.86</v>
      </c>
      <c r="C820" s="3">
        <v>261.956474650934</v>
      </c>
    </row>
    <row r="821">
      <c r="A821" s="1">
        <f>IFERROR(__xludf.DUMMYFUNCTION("""COMPUTED_VALUE"""),44769.66666666667)</f>
        <v>44769.66667</v>
      </c>
      <c r="B821" s="2">
        <f>IFERROR(__xludf.DUMMYFUNCTION("""COMPUTED_VALUE"""),274.82)</f>
        <v>274.82</v>
      </c>
      <c r="C821" s="3">
        <v>261.957172130208</v>
      </c>
    </row>
    <row r="822">
      <c r="A822" s="1">
        <f>IFERROR(__xludf.DUMMYFUNCTION("""COMPUTED_VALUE"""),44770.66666666667)</f>
        <v>44770.66667</v>
      </c>
      <c r="B822" s="2">
        <f>IFERROR(__xludf.DUMMYFUNCTION("""COMPUTED_VALUE"""),280.9)</f>
        <v>280.9</v>
      </c>
      <c r="C822" s="3">
        <v>260.757093238243</v>
      </c>
    </row>
    <row r="823">
      <c r="A823" s="1">
        <f>IFERROR(__xludf.DUMMYFUNCTION("""COMPUTED_VALUE"""),44771.66666666667)</f>
        <v>44771.66667</v>
      </c>
      <c r="B823" s="2">
        <f>IFERROR(__xludf.DUMMYFUNCTION("""COMPUTED_VALUE"""),297.15)</f>
        <v>297.15</v>
      </c>
      <c r="C823" s="3">
        <v>259.875219328943</v>
      </c>
    </row>
    <row r="824">
      <c r="A824" s="1">
        <f>IFERROR(__xludf.DUMMYFUNCTION("""COMPUTED_VALUE"""),44774.66666666667)</f>
        <v>44774.66667</v>
      </c>
      <c r="B824" s="2">
        <f>IFERROR(__xludf.DUMMYFUNCTION("""COMPUTED_VALUE"""),297.28)</f>
        <v>297.28</v>
      </c>
      <c r="C824" s="3">
        <v>260.712712776055</v>
      </c>
    </row>
    <row r="825">
      <c r="A825" s="1">
        <f>IFERROR(__xludf.DUMMYFUNCTION("""COMPUTED_VALUE"""),44775.66666666667)</f>
        <v>44775.66667</v>
      </c>
      <c r="B825" s="2">
        <f>IFERROR(__xludf.DUMMYFUNCTION("""COMPUTED_VALUE"""),300.59)</f>
        <v>300.59</v>
      </c>
      <c r="C825" s="3">
        <v>259.462322748869</v>
      </c>
    </row>
    <row r="826">
      <c r="A826" s="1">
        <f>IFERROR(__xludf.DUMMYFUNCTION("""COMPUTED_VALUE"""),44776.66666666667)</f>
        <v>44776.66667</v>
      </c>
      <c r="B826" s="2">
        <f>IFERROR(__xludf.DUMMYFUNCTION("""COMPUTED_VALUE"""),307.4)</f>
        <v>307.4</v>
      </c>
      <c r="C826" s="3">
        <v>259.504260284417</v>
      </c>
    </row>
    <row r="827">
      <c r="A827" s="1">
        <f>IFERROR(__xludf.DUMMYFUNCTION("""COMPUTED_VALUE"""),44777.66666666667)</f>
        <v>44777.66667</v>
      </c>
      <c r="B827" s="2">
        <f>IFERROR(__xludf.DUMMYFUNCTION("""COMPUTED_VALUE"""),308.63)</f>
        <v>308.63</v>
      </c>
      <c r="C827" s="3">
        <v>258.366655043699</v>
      </c>
    </row>
    <row r="828">
      <c r="A828" s="1">
        <f>IFERROR(__xludf.DUMMYFUNCTION("""COMPUTED_VALUE"""),44778.66666666667)</f>
        <v>44778.66667</v>
      </c>
      <c r="B828" s="2">
        <f>IFERROR(__xludf.DUMMYFUNCTION("""COMPUTED_VALUE"""),288.17)</f>
        <v>288.17</v>
      </c>
      <c r="C828" s="3">
        <v>257.562959862751</v>
      </c>
    </row>
    <row r="829">
      <c r="A829" s="1">
        <f>IFERROR(__xludf.DUMMYFUNCTION("""COMPUTED_VALUE"""),44781.66666666667)</f>
        <v>44781.66667</v>
      </c>
      <c r="B829" s="2">
        <f>IFERROR(__xludf.DUMMYFUNCTION("""COMPUTED_VALUE"""),290.42)</f>
        <v>290.42</v>
      </c>
      <c r="C829" s="3">
        <v>258.674222774648</v>
      </c>
    </row>
    <row r="830">
      <c r="A830" s="1">
        <f>IFERROR(__xludf.DUMMYFUNCTION("""COMPUTED_VALUE"""),44782.66666666667)</f>
        <v>44782.66667</v>
      </c>
      <c r="B830" s="2">
        <f>IFERROR(__xludf.DUMMYFUNCTION("""COMPUTED_VALUE"""),283.33)</f>
        <v>283.33</v>
      </c>
      <c r="C830" s="3">
        <v>257.511472762921</v>
      </c>
    </row>
    <row r="831">
      <c r="A831" s="1">
        <f>IFERROR(__xludf.DUMMYFUNCTION("""COMPUTED_VALUE"""),44783.66666666667)</f>
        <v>44783.66667</v>
      </c>
      <c r="B831" s="2">
        <f>IFERROR(__xludf.DUMMYFUNCTION("""COMPUTED_VALUE"""),294.36)</f>
        <v>294.36</v>
      </c>
      <c r="C831" s="3">
        <v>257.632401866611</v>
      </c>
    </row>
    <row r="832">
      <c r="A832" s="1">
        <f>IFERROR(__xludf.DUMMYFUNCTION("""COMPUTED_VALUE"""),44784.66666666667)</f>
        <v>44784.66667</v>
      </c>
      <c r="B832" s="2">
        <f>IFERROR(__xludf.DUMMYFUNCTION("""COMPUTED_VALUE"""),286.63)</f>
        <v>286.63</v>
      </c>
      <c r="C832" s="3">
        <v>256.562276952323</v>
      </c>
    </row>
    <row r="833">
      <c r="A833" s="1">
        <f>IFERROR(__xludf.DUMMYFUNCTION("""COMPUTED_VALUE"""),44785.66666666667)</f>
        <v>44785.66667</v>
      </c>
      <c r="B833" s="2">
        <f>IFERROR(__xludf.DUMMYFUNCTION("""COMPUTED_VALUE"""),300.03)</f>
        <v>300.03</v>
      </c>
      <c r="C833" s="3">
        <v>255.812675930041</v>
      </c>
    </row>
    <row r="834">
      <c r="A834" s="1">
        <f>IFERROR(__xludf.DUMMYFUNCTION("""COMPUTED_VALUE"""),44788.66666666667)</f>
        <v>44788.66667</v>
      </c>
      <c r="B834" s="2">
        <f>IFERROR(__xludf.DUMMYFUNCTION("""COMPUTED_VALUE"""),309.32)</f>
        <v>309.32</v>
      </c>
      <c r="C834" s="3">
        <v>257.0029473727</v>
      </c>
    </row>
    <row r="835">
      <c r="A835" s="1">
        <f>IFERROR(__xludf.DUMMYFUNCTION("""COMPUTED_VALUE"""),44789.66666666667)</f>
        <v>44789.66667</v>
      </c>
      <c r="B835" s="2">
        <f>IFERROR(__xludf.DUMMYFUNCTION("""COMPUTED_VALUE"""),306.56)</f>
        <v>306.56</v>
      </c>
      <c r="C835" s="3">
        <v>255.842969988029</v>
      </c>
    </row>
    <row r="836">
      <c r="A836" s="1">
        <f>IFERROR(__xludf.DUMMYFUNCTION("""COMPUTED_VALUE"""),44790.66666666667)</f>
        <v>44790.66667</v>
      </c>
      <c r="B836" s="2">
        <f>IFERROR(__xludf.DUMMYFUNCTION("""COMPUTED_VALUE"""),304.0)</f>
        <v>304</v>
      </c>
      <c r="C836" s="3">
        <v>255.959333463173</v>
      </c>
    </row>
    <row r="837">
      <c r="A837" s="1">
        <f>IFERROR(__xludf.DUMMYFUNCTION("""COMPUTED_VALUE"""),44791.66666666667)</f>
        <v>44791.66667</v>
      </c>
      <c r="B837" s="2">
        <f>IFERROR(__xludf.DUMMYFUNCTION("""COMPUTED_VALUE"""),302.87)</f>
        <v>302.87</v>
      </c>
      <c r="C837" s="3">
        <v>254.881119812143</v>
      </c>
    </row>
    <row r="838">
      <c r="A838" s="1">
        <f>IFERROR(__xludf.DUMMYFUNCTION("""COMPUTED_VALUE"""),44792.66666666667)</f>
        <v>44792.66667</v>
      </c>
      <c r="B838" s="2">
        <f>IFERROR(__xludf.DUMMYFUNCTION("""COMPUTED_VALUE"""),296.67)</f>
        <v>296.67</v>
      </c>
      <c r="C838" s="3">
        <v>254.124250646229</v>
      </c>
    </row>
    <row r="839">
      <c r="A839" s="1">
        <f>IFERROR(__xludf.DUMMYFUNCTION("""COMPUTED_VALUE"""),44795.66666666667)</f>
        <v>44795.66667</v>
      </c>
      <c r="B839" s="2">
        <f>IFERROR(__xludf.DUMMYFUNCTION("""COMPUTED_VALUE"""),289.91)</f>
        <v>289.91</v>
      </c>
      <c r="C839" s="3">
        <v>255.344558938083</v>
      </c>
    </row>
    <row r="840">
      <c r="A840" s="1">
        <f>IFERROR(__xludf.DUMMYFUNCTION("""COMPUTED_VALUE"""),44796.66666666667)</f>
        <v>44796.66667</v>
      </c>
      <c r="B840" s="2">
        <f>IFERROR(__xludf.DUMMYFUNCTION("""COMPUTED_VALUE"""),296.45)</f>
        <v>296.45</v>
      </c>
      <c r="C840" s="3">
        <v>254.227064887005</v>
      </c>
    </row>
    <row r="841">
      <c r="A841" s="1">
        <f>IFERROR(__xludf.DUMMYFUNCTION("""COMPUTED_VALUE"""),44797.66666666667)</f>
        <v>44797.66667</v>
      </c>
      <c r="B841" s="2">
        <f>IFERROR(__xludf.DUMMYFUNCTION("""COMPUTED_VALUE"""),297.1)</f>
        <v>297.1</v>
      </c>
      <c r="C841" s="3">
        <v>254.408701026715</v>
      </c>
    </row>
    <row r="842">
      <c r="A842" s="1">
        <f>IFERROR(__xludf.DUMMYFUNCTION("""COMPUTED_VALUE"""),44798.66666666667)</f>
        <v>44798.66667</v>
      </c>
      <c r="B842" s="2">
        <f>IFERROR(__xludf.DUMMYFUNCTION("""COMPUTED_VALUE"""),296.07)</f>
        <v>296.07</v>
      </c>
      <c r="C842" s="3">
        <v>253.421389936901</v>
      </c>
    </row>
    <row r="843">
      <c r="A843" s="1">
        <f>IFERROR(__xludf.DUMMYFUNCTION("""COMPUTED_VALUE"""),44799.66666666667)</f>
        <v>44799.66667</v>
      </c>
      <c r="B843" s="2">
        <f>IFERROR(__xludf.DUMMYFUNCTION("""COMPUTED_VALUE"""),288.09)</f>
        <v>288.09</v>
      </c>
      <c r="C843" s="3">
        <v>252.782890778567</v>
      </c>
    </row>
    <row r="844">
      <c r="A844" s="1">
        <f>IFERROR(__xludf.DUMMYFUNCTION("""COMPUTED_VALUE"""),44802.66666666667)</f>
        <v>44802.66667</v>
      </c>
      <c r="B844" s="2">
        <f>IFERROR(__xludf.DUMMYFUNCTION("""COMPUTED_VALUE"""),284.82)</f>
        <v>284.82</v>
      </c>
      <c r="C844" s="3">
        <v>254.523410875092</v>
      </c>
    </row>
    <row r="845">
      <c r="A845" s="1">
        <f>IFERROR(__xludf.DUMMYFUNCTION("""COMPUTED_VALUE"""),44803.66666666667)</f>
        <v>44803.66667</v>
      </c>
      <c r="B845" s="2">
        <f>IFERROR(__xludf.DUMMYFUNCTION("""COMPUTED_VALUE"""),277.7)</f>
        <v>277.7</v>
      </c>
      <c r="C845" s="3">
        <v>253.627799796615</v>
      </c>
    </row>
    <row r="846">
      <c r="A846" s="1">
        <f>IFERROR(__xludf.DUMMYFUNCTION("""COMPUTED_VALUE"""),44804.66666666667)</f>
        <v>44804.66667</v>
      </c>
      <c r="B846" s="2">
        <f>IFERROR(__xludf.DUMMYFUNCTION("""COMPUTED_VALUE"""),275.61)</f>
        <v>275.61</v>
      </c>
      <c r="C846" s="3">
        <v>254.048857737146</v>
      </c>
    </row>
    <row r="847">
      <c r="A847" s="1">
        <f>IFERROR(__xludf.DUMMYFUNCTION("""COMPUTED_VALUE"""),44805.66666666667)</f>
        <v>44805.66667</v>
      </c>
      <c r="B847" s="2">
        <f>IFERROR(__xludf.DUMMYFUNCTION("""COMPUTED_VALUE"""),277.16)</f>
        <v>277.16</v>
      </c>
      <c r="C847" s="3">
        <v>253.312514518466</v>
      </c>
    </row>
    <row r="848">
      <c r="A848" s="1">
        <f>IFERROR(__xludf.DUMMYFUNCTION("""COMPUTED_VALUE"""),44806.66666666667)</f>
        <v>44806.66667</v>
      </c>
      <c r="B848" s="2">
        <f>IFERROR(__xludf.DUMMYFUNCTION("""COMPUTED_VALUE"""),270.21)</f>
        <v>270.21</v>
      </c>
      <c r="C848" s="3">
        <v>252.929369929729</v>
      </c>
    </row>
    <row r="849">
      <c r="A849" s="1">
        <f>IFERROR(__xludf.DUMMYFUNCTION("""COMPUTED_VALUE"""),44810.66666666667)</f>
        <v>44810.66667</v>
      </c>
      <c r="B849" s="2">
        <f>IFERROR(__xludf.DUMMYFUNCTION("""COMPUTED_VALUE"""),274.42)</f>
        <v>274.42</v>
      </c>
      <c r="C849" s="3">
        <v>254.666230654113</v>
      </c>
    </row>
    <row r="850">
      <c r="A850" s="1">
        <f>IFERROR(__xludf.DUMMYFUNCTION("""COMPUTED_VALUE"""),44811.66666666667)</f>
        <v>44811.66667</v>
      </c>
      <c r="B850" s="2">
        <f>IFERROR(__xludf.DUMMYFUNCTION("""COMPUTED_VALUE"""),283.7)</f>
        <v>283.7</v>
      </c>
      <c r="C850" s="3">
        <v>255.230506848299</v>
      </c>
    </row>
    <row r="851">
      <c r="A851" s="1">
        <f>IFERROR(__xludf.DUMMYFUNCTION("""COMPUTED_VALUE"""),44812.66666666667)</f>
        <v>44812.66667</v>
      </c>
      <c r="B851" s="2">
        <f>IFERROR(__xludf.DUMMYFUNCTION("""COMPUTED_VALUE"""),289.26)</f>
        <v>289.26</v>
      </c>
      <c r="C851" s="3">
        <v>254.586503813823</v>
      </c>
    </row>
    <row r="852">
      <c r="A852" s="1">
        <f>IFERROR(__xludf.DUMMYFUNCTION("""COMPUTED_VALUE"""),44813.66666666667)</f>
        <v>44813.66667</v>
      </c>
      <c r="B852" s="2">
        <f>IFERROR(__xludf.DUMMYFUNCTION("""COMPUTED_VALUE"""),299.68)</f>
        <v>299.68</v>
      </c>
      <c r="C852" s="3">
        <v>254.236205360196</v>
      </c>
    </row>
    <row r="853">
      <c r="A853" s="1">
        <f>IFERROR(__xludf.DUMMYFUNCTION("""COMPUTED_VALUE"""),44816.66666666667)</f>
        <v>44816.66667</v>
      </c>
      <c r="B853" s="2">
        <f>IFERROR(__xludf.DUMMYFUNCTION("""COMPUTED_VALUE"""),304.42)</f>
        <v>304.42</v>
      </c>
      <c r="C853" s="3">
        <v>256.356031302624</v>
      </c>
    </row>
    <row r="854">
      <c r="A854" s="1">
        <f>IFERROR(__xludf.DUMMYFUNCTION("""COMPUTED_VALUE"""),44817.66666666667)</f>
        <v>44817.66667</v>
      </c>
      <c r="B854" s="2">
        <f>IFERROR(__xludf.DUMMYFUNCTION("""COMPUTED_VALUE"""),292.13)</f>
        <v>292.13</v>
      </c>
      <c r="C854" s="3">
        <v>255.378160980618</v>
      </c>
    </row>
    <row r="855">
      <c r="A855" s="1">
        <f>IFERROR(__xludf.DUMMYFUNCTION("""COMPUTED_VALUE"""),44818.66666666667)</f>
        <v>44818.66667</v>
      </c>
      <c r="B855" s="2">
        <f>IFERROR(__xludf.DUMMYFUNCTION("""COMPUTED_VALUE"""),302.61)</f>
        <v>302.61</v>
      </c>
      <c r="C855" s="3">
        <v>255.593234523706</v>
      </c>
    </row>
    <row r="856">
      <c r="A856" s="1">
        <f>IFERROR(__xludf.DUMMYFUNCTION("""COMPUTED_VALUE"""),44819.66666666667)</f>
        <v>44819.66667</v>
      </c>
      <c r="B856" s="2">
        <f>IFERROR(__xludf.DUMMYFUNCTION("""COMPUTED_VALUE"""),303.75)</f>
        <v>303.75</v>
      </c>
      <c r="C856" s="3">
        <v>254.519002251686</v>
      </c>
    </row>
    <row r="857">
      <c r="A857" s="1">
        <f>IFERROR(__xludf.DUMMYFUNCTION("""COMPUTED_VALUE"""),44820.66666666667)</f>
        <v>44820.66667</v>
      </c>
      <c r="B857" s="2">
        <f>IFERROR(__xludf.DUMMYFUNCTION("""COMPUTED_VALUE"""),303.35)</f>
        <v>303.35</v>
      </c>
      <c r="C857" s="3">
        <v>253.660760628767</v>
      </c>
    </row>
    <row r="858">
      <c r="A858" s="1">
        <f>IFERROR(__xludf.DUMMYFUNCTION("""COMPUTED_VALUE"""),44823.66666666667)</f>
        <v>44823.66667</v>
      </c>
      <c r="B858" s="2">
        <f>IFERROR(__xludf.DUMMYFUNCTION("""COMPUTED_VALUE"""),309.07)</f>
        <v>309.07</v>
      </c>
      <c r="C858" s="3">
        <v>253.856281364334</v>
      </c>
    </row>
    <row r="859">
      <c r="A859" s="1">
        <f>IFERROR(__xludf.DUMMYFUNCTION("""COMPUTED_VALUE"""),44824.66666666667)</f>
        <v>44824.66667</v>
      </c>
      <c r="B859" s="2">
        <f>IFERROR(__xludf.DUMMYFUNCTION("""COMPUTED_VALUE"""),308.73)</f>
        <v>308.73</v>
      </c>
      <c r="C859" s="3">
        <v>252.135664025892</v>
      </c>
    </row>
    <row r="860">
      <c r="A860" s="1">
        <f>IFERROR(__xludf.DUMMYFUNCTION("""COMPUTED_VALUE"""),44825.66666666667)</f>
        <v>44825.66667</v>
      </c>
      <c r="B860" s="2">
        <f>IFERROR(__xludf.DUMMYFUNCTION("""COMPUTED_VALUE"""),300.8)</f>
        <v>300.8</v>
      </c>
      <c r="C860" s="3">
        <v>251.57792871131</v>
      </c>
    </row>
    <row r="861">
      <c r="A861" s="1">
        <f>IFERROR(__xludf.DUMMYFUNCTION("""COMPUTED_VALUE"""),44826.66666666667)</f>
        <v>44826.66667</v>
      </c>
      <c r="B861" s="2">
        <f>IFERROR(__xludf.DUMMYFUNCTION("""COMPUTED_VALUE"""),288.59)</f>
        <v>288.59</v>
      </c>
      <c r="C861" s="3">
        <v>249.715350928235</v>
      </c>
    </row>
    <row r="862">
      <c r="A862" s="1">
        <f>IFERROR(__xludf.DUMMYFUNCTION("""COMPUTED_VALUE"""),44827.66666666667)</f>
        <v>44827.66667</v>
      </c>
      <c r="B862" s="2">
        <f>IFERROR(__xludf.DUMMYFUNCTION("""COMPUTED_VALUE"""),275.33)</f>
        <v>275.33</v>
      </c>
      <c r="C862" s="3">
        <v>248.068747542161</v>
      </c>
    </row>
    <row r="863">
      <c r="A863" s="1">
        <f>IFERROR(__xludf.DUMMYFUNCTION("""COMPUTED_VALUE"""),44830.66666666667)</f>
        <v>44830.66667</v>
      </c>
      <c r="B863" s="2">
        <f>IFERROR(__xludf.DUMMYFUNCTION("""COMPUTED_VALUE"""),276.01)</f>
        <v>276.01</v>
      </c>
      <c r="C863" s="3">
        <v>246.061137006634</v>
      </c>
    </row>
    <row r="864">
      <c r="A864" s="1">
        <f>IFERROR(__xludf.DUMMYFUNCTION("""COMPUTED_VALUE"""),44831.66666666667)</f>
        <v>44831.66667</v>
      </c>
      <c r="B864" s="2">
        <f>IFERROR(__xludf.DUMMYFUNCTION("""COMPUTED_VALUE"""),282.94)</f>
        <v>282.94</v>
      </c>
      <c r="C864" s="3">
        <v>243.713530673008</v>
      </c>
    </row>
    <row r="865">
      <c r="A865" s="1">
        <f>IFERROR(__xludf.DUMMYFUNCTION("""COMPUTED_VALUE"""),44832.66666666667)</f>
        <v>44832.66667</v>
      </c>
      <c r="B865" s="2">
        <f>IFERROR(__xludf.DUMMYFUNCTION("""COMPUTED_VALUE"""),287.81)</f>
        <v>287.81</v>
      </c>
      <c r="C865" s="3">
        <v>242.607415037473</v>
      </c>
    </row>
    <row r="866">
      <c r="A866" s="1">
        <f>IFERROR(__xludf.DUMMYFUNCTION("""COMPUTED_VALUE"""),44833.66666666667)</f>
        <v>44833.66667</v>
      </c>
      <c r="B866" s="2">
        <f>IFERROR(__xludf.DUMMYFUNCTION("""COMPUTED_VALUE"""),268.21)</f>
        <v>268.21</v>
      </c>
      <c r="C866" s="3">
        <v>240.288078189099</v>
      </c>
    </row>
    <row r="867">
      <c r="A867" s="1">
        <f>IFERROR(__xludf.DUMMYFUNCTION("""COMPUTED_VALUE"""),44834.66666666667)</f>
        <v>44834.66667</v>
      </c>
      <c r="B867" s="2">
        <f>IFERROR(__xludf.DUMMYFUNCTION("""COMPUTED_VALUE"""),265.25)</f>
        <v>265.25</v>
      </c>
      <c r="C867" s="3">
        <v>238.287527828306</v>
      </c>
    </row>
    <row r="868">
      <c r="A868" s="1">
        <f>IFERROR(__xludf.DUMMYFUNCTION("""COMPUTED_VALUE"""),44837.66666666667)</f>
        <v>44837.66667</v>
      </c>
      <c r="B868" s="2">
        <f>IFERROR(__xludf.DUMMYFUNCTION("""COMPUTED_VALUE"""),242.4)</f>
        <v>242.4</v>
      </c>
      <c r="C868" s="3">
        <v>235.913028580827</v>
      </c>
    </row>
    <row r="869">
      <c r="A869" s="1">
        <f>IFERROR(__xludf.DUMMYFUNCTION("""COMPUTED_VALUE"""),44838.66666666667)</f>
        <v>44838.66667</v>
      </c>
      <c r="B869" s="2">
        <f>IFERROR(__xludf.DUMMYFUNCTION("""COMPUTED_VALUE"""),249.44)</f>
        <v>249.44</v>
      </c>
      <c r="C869" s="3">
        <v>233.68789146732</v>
      </c>
    </row>
    <row r="870">
      <c r="A870" s="1">
        <f>IFERROR(__xludf.DUMMYFUNCTION("""COMPUTED_VALUE"""),44839.66666666667)</f>
        <v>44839.66667</v>
      </c>
      <c r="B870" s="2">
        <f>IFERROR(__xludf.DUMMYFUNCTION("""COMPUTED_VALUE"""),240.81)</f>
        <v>240.81</v>
      </c>
      <c r="C870" s="3">
        <v>232.826222257878</v>
      </c>
    </row>
    <row r="871">
      <c r="A871" s="1">
        <f>IFERROR(__xludf.DUMMYFUNCTION("""COMPUTED_VALUE"""),44840.66666666667)</f>
        <v>44840.66667</v>
      </c>
      <c r="B871" s="2">
        <f>IFERROR(__xludf.DUMMYFUNCTION("""COMPUTED_VALUE"""),238.13)</f>
        <v>238.13</v>
      </c>
      <c r="C871" s="3">
        <v>230.86878902962</v>
      </c>
    </row>
    <row r="872">
      <c r="A872" s="1">
        <f>IFERROR(__xludf.DUMMYFUNCTION("""COMPUTED_VALUE"""),44841.66666666667)</f>
        <v>44841.66667</v>
      </c>
      <c r="B872" s="2">
        <f>IFERROR(__xludf.DUMMYFUNCTION("""COMPUTED_VALUE"""),223.07)</f>
        <v>223.07</v>
      </c>
      <c r="C872" s="3">
        <v>229.340305493967</v>
      </c>
    </row>
    <row r="873">
      <c r="A873" s="1">
        <f>IFERROR(__xludf.DUMMYFUNCTION("""COMPUTED_VALUE"""),44844.66666666667)</f>
        <v>44844.66667</v>
      </c>
      <c r="B873" s="2">
        <f>IFERROR(__xludf.DUMMYFUNCTION("""COMPUTED_VALUE"""),222.96)</f>
        <v>222.96</v>
      </c>
      <c r="C873" s="3">
        <v>228.932242189975</v>
      </c>
    </row>
    <row r="874">
      <c r="A874" s="1">
        <f>IFERROR(__xludf.DUMMYFUNCTION("""COMPUTED_VALUE"""),44845.66666666667)</f>
        <v>44845.66667</v>
      </c>
      <c r="B874" s="2">
        <f>IFERROR(__xludf.DUMMYFUNCTION("""COMPUTED_VALUE"""),216.5)</f>
        <v>216.5</v>
      </c>
      <c r="C874" s="3">
        <v>227.498396830875</v>
      </c>
    </row>
    <row r="875">
      <c r="A875" s="1">
        <f>IFERROR(__xludf.DUMMYFUNCTION("""COMPUTED_VALUE"""),44846.66666666667)</f>
        <v>44846.66667</v>
      </c>
      <c r="B875" s="2">
        <f>IFERROR(__xludf.DUMMYFUNCTION("""COMPUTED_VALUE"""),217.24)</f>
        <v>217.24</v>
      </c>
      <c r="C875" s="3">
        <v>227.468025130991</v>
      </c>
    </row>
    <row r="876">
      <c r="A876" s="1">
        <f>IFERROR(__xludf.DUMMYFUNCTION("""COMPUTED_VALUE"""),44847.66666666667)</f>
        <v>44847.66667</v>
      </c>
      <c r="B876" s="2">
        <f>IFERROR(__xludf.DUMMYFUNCTION("""COMPUTED_VALUE"""),221.72)</f>
        <v>221.72</v>
      </c>
      <c r="C876" s="3">
        <v>226.363573883293</v>
      </c>
    </row>
    <row r="877">
      <c r="A877" s="1">
        <f>IFERROR(__xludf.DUMMYFUNCTION("""COMPUTED_VALUE"""),44848.66666666667)</f>
        <v>44848.66667</v>
      </c>
      <c r="B877" s="2">
        <f>IFERROR(__xludf.DUMMYFUNCTION("""COMPUTED_VALUE"""),204.99)</f>
        <v>204.99</v>
      </c>
      <c r="C877" s="3">
        <v>225.691031904922</v>
      </c>
    </row>
    <row r="878">
      <c r="A878" s="1">
        <f>IFERROR(__xludf.DUMMYFUNCTION("""COMPUTED_VALUE"""),44851.66666666667)</f>
        <v>44851.66667</v>
      </c>
      <c r="B878" s="2">
        <f>IFERROR(__xludf.DUMMYFUNCTION("""COMPUTED_VALUE"""),219.35)</f>
        <v>219.35</v>
      </c>
      <c r="C878" s="3">
        <v>227.685489526722</v>
      </c>
    </row>
    <row r="879">
      <c r="A879" s="1">
        <f>IFERROR(__xludf.DUMMYFUNCTION("""COMPUTED_VALUE"""),44852.66666666667)</f>
        <v>44852.66667</v>
      </c>
      <c r="B879" s="2">
        <f>IFERROR(__xludf.DUMMYFUNCTION("""COMPUTED_VALUE"""),220.19)</f>
        <v>220.19</v>
      </c>
      <c r="C879" s="3">
        <v>226.941103503668</v>
      </c>
    </row>
    <row r="880">
      <c r="A880" s="1">
        <f>IFERROR(__xludf.DUMMYFUNCTION("""COMPUTED_VALUE"""),44853.66666666667)</f>
        <v>44853.66667</v>
      </c>
      <c r="B880" s="2">
        <f>IFERROR(__xludf.DUMMYFUNCTION("""COMPUTED_VALUE"""),222.04)</f>
        <v>222.04</v>
      </c>
      <c r="C880" s="3">
        <v>227.520287671199</v>
      </c>
    </row>
    <row r="881">
      <c r="A881" s="1">
        <f>IFERROR(__xludf.DUMMYFUNCTION("""COMPUTED_VALUE"""),44854.66666666667)</f>
        <v>44854.66667</v>
      </c>
      <c r="B881" s="2">
        <f>IFERROR(__xludf.DUMMYFUNCTION("""COMPUTED_VALUE"""),207.28)</f>
        <v>207.28</v>
      </c>
      <c r="C881" s="3">
        <v>226.93413555624</v>
      </c>
    </row>
    <row r="882">
      <c r="A882" s="1">
        <f>IFERROR(__xludf.DUMMYFUNCTION("""COMPUTED_VALUE"""),44855.66666666667)</f>
        <v>44855.66667</v>
      </c>
      <c r="B882" s="2">
        <f>IFERROR(__xludf.DUMMYFUNCTION("""COMPUTED_VALUE"""),214.44)</f>
        <v>214.44</v>
      </c>
      <c r="C882" s="3">
        <v>226.679840160146</v>
      </c>
    </row>
    <row r="883">
      <c r="A883" s="1">
        <f>IFERROR(__xludf.DUMMYFUNCTION("""COMPUTED_VALUE"""),44858.66666666667)</f>
        <v>44858.66667</v>
      </c>
      <c r="B883" s="2">
        <f>IFERROR(__xludf.DUMMYFUNCTION("""COMPUTED_VALUE"""),211.25)</f>
        <v>211.25</v>
      </c>
      <c r="C883" s="3">
        <v>229.283281760328</v>
      </c>
    </row>
    <row r="884">
      <c r="A884" s="1">
        <f>IFERROR(__xludf.DUMMYFUNCTION("""COMPUTED_VALUE"""),44859.66666666667)</f>
        <v>44859.66667</v>
      </c>
      <c r="B884" s="2">
        <f>IFERROR(__xludf.DUMMYFUNCTION("""COMPUTED_VALUE"""),222.42)</f>
        <v>222.42</v>
      </c>
      <c r="C884" s="3">
        <v>228.526302732855</v>
      </c>
    </row>
    <row r="885">
      <c r="A885" s="1">
        <f>IFERROR(__xludf.DUMMYFUNCTION("""COMPUTED_VALUE"""),44860.66666666667)</f>
        <v>44860.66667</v>
      </c>
      <c r="B885" s="2">
        <f>IFERROR(__xludf.DUMMYFUNCTION("""COMPUTED_VALUE"""),224.64)</f>
        <v>224.64</v>
      </c>
      <c r="C885" s="3">
        <v>228.99226671798</v>
      </c>
    </row>
    <row r="886">
      <c r="A886" s="1">
        <f>IFERROR(__xludf.DUMMYFUNCTION("""COMPUTED_VALUE"""),44861.66666666667)</f>
        <v>44861.66667</v>
      </c>
      <c r="B886" s="2">
        <f>IFERROR(__xludf.DUMMYFUNCTION("""COMPUTED_VALUE"""),225.09)</f>
        <v>225.09</v>
      </c>
      <c r="C886" s="3">
        <v>228.200691870906</v>
      </c>
    </row>
    <row r="887">
      <c r="A887" s="1">
        <f>IFERROR(__xludf.DUMMYFUNCTION("""COMPUTED_VALUE"""),44862.66666666667)</f>
        <v>44862.66667</v>
      </c>
      <c r="B887" s="2">
        <f>IFERROR(__xludf.DUMMYFUNCTION("""COMPUTED_VALUE"""),228.52)</f>
        <v>228.52</v>
      </c>
      <c r="C887" s="3">
        <v>227.659613607815</v>
      </c>
    </row>
    <row r="888">
      <c r="A888" s="1">
        <f>IFERROR(__xludf.DUMMYFUNCTION("""COMPUTED_VALUE"""),44865.66666666667)</f>
        <v>44865.66667</v>
      </c>
      <c r="B888" s="2">
        <f>IFERROR(__xludf.DUMMYFUNCTION("""COMPUTED_VALUE"""),227.54)</f>
        <v>227.54</v>
      </c>
      <c r="C888" s="3">
        <v>229.051850419081</v>
      </c>
    </row>
    <row r="889">
      <c r="A889" s="1">
        <f>IFERROR(__xludf.DUMMYFUNCTION("""COMPUTED_VALUE"""),44866.66666666667)</f>
        <v>44866.66667</v>
      </c>
      <c r="B889" s="2">
        <f>IFERROR(__xludf.DUMMYFUNCTION("""COMPUTED_VALUE"""),227.82)</f>
        <v>227.82</v>
      </c>
      <c r="C889" s="3">
        <v>227.826618140881</v>
      </c>
    </row>
    <row r="890">
      <c r="A890" s="1">
        <f>IFERROR(__xludf.DUMMYFUNCTION("""COMPUTED_VALUE"""),44867.66666666667)</f>
        <v>44867.66667</v>
      </c>
      <c r="B890" s="2">
        <f>IFERROR(__xludf.DUMMYFUNCTION("""COMPUTED_VALUE"""),214.98)</f>
        <v>214.98</v>
      </c>
      <c r="C890" s="3">
        <v>227.819962337876</v>
      </c>
    </row>
    <row r="891">
      <c r="A891" s="1">
        <f>IFERROR(__xludf.DUMMYFUNCTION("""COMPUTED_VALUE"""),44868.66666666667)</f>
        <v>44868.66667</v>
      </c>
      <c r="B891" s="2">
        <f>IFERROR(__xludf.DUMMYFUNCTION("""COMPUTED_VALUE"""),215.31)</f>
        <v>215.31</v>
      </c>
      <c r="C891" s="3">
        <v>226.568091349593</v>
      </c>
    </row>
    <row r="892">
      <c r="A892" s="1">
        <f>IFERROR(__xludf.DUMMYFUNCTION("""COMPUTED_VALUE"""),44869.66666666667)</f>
        <v>44869.66667</v>
      </c>
      <c r="B892" s="2">
        <f>IFERROR(__xludf.DUMMYFUNCTION("""COMPUTED_VALUE"""),207.47)</f>
        <v>207.47</v>
      </c>
      <c r="C892" s="3">
        <v>225.594997045173</v>
      </c>
    </row>
    <row r="893">
      <c r="A893" s="1">
        <f>IFERROR(__xludf.DUMMYFUNCTION("""COMPUTED_VALUE"""),44872.66666666667)</f>
        <v>44872.66667</v>
      </c>
      <c r="B893" s="2">
        <f>IFERROR(__xludf.DUMMYFUNCTION("""COMPUTED_VALUE"""),197.08)</f>
        <v>197.08</v>
      </c>
      <c r="C893" s="3">
        <v>225.999623364276</v>
      </c>
    </row>
    <row r="894">
      <c r="A894" s="1">
        <f>IFERROR(__xludf.DUMMYFUNCTION("""COMPUTED_VALUE"""),44873.66666666667)</f>
        <v>44873.66667</v>
      </c>
      <c r="B894" s="2">
        <f>IFERROR(__xludf.DUMMYFUNCTION("""COMPUTED_VALUE"""),191.3)</f>
        <v>191.3</v>
      </c>
      <c r="C894" s="3">
        <v>224.584452432793</v>
      </c>
    </row>
    <row r="895">
      <c r="A895" s="1">
        <f>IFERROR(__xludf.DUMMYFUNCTION("""COMPUTED_VALUE"""),44874.66666666667)</f>
        <v>44874.66667</v>
      </c>
      <c r="B895" s="2">
        <f>IFERROR(__xludf.DUMMYFUNCTION("""COMPUTED_VALUE"""),177.59)</f>
        <v>177.59</v>
      </c>
      <c r="C895" s="3">
        <v>224.469658697693</v>
      </c>
    </row>
    <row r="896">
      <c r="A896" s="1">
        <f>IFERROR(__xludf.DUMMYFUNCTION("""COMPUTED_VALUE"""),44875.66666666667)</f>
        <v>44875.66667</v>
      </c>
      <c r="B896" s="2">
        <f>IFERROR(__xludf.DUMMYFUNCTION("""COMPUTED_VALUE"""),190.72)</f>
        <v>190.72</v>
      </c>
      <c r="C896" s="3">
        <v>223.194622810197</v>
      </c>
    </row>
    <row r="897">
      <c r="A897" s="1">
        <f>IFERROR(__xludf.DUMMYFUNCTION("""COMPUTED_VALUE"""),44876.66666666667)</f>
        <v>44876.66667</v>
      </c>
      <c r="B897" s="2">
        <f>IFERROR(__xludf.DUMMYFUNCTION("""COMPUTED_VALUE"""),195.97)</f>
        <v>195.97</v>
      </c>
      <c r="C897" s="3">
        <v>222.283579034905</v>
      </c>
    </row>
    <row r="898">
      <c r="A898" s="1">
        <f>IFERROR(__xludf.DUMMYFUNCTION("""COMPUTED_VALUE"""),44879.66666666667)</f>
        <v>44879.66667</v>
      </c>
      <c r="B898" s="2">
        <f>IFERROR(__xludf.DUMMYFUNCTION("""COMPUTED_VALUE"""),190.95)</f>
        <v>190.95</v>
      </c>
      <c r="C898" s="3">
        <v>223.344526988196</v>
      </c>
    </row>
    <row r="899">
      <c r="A899" s="1">
        <f>IFERROR(__xludf.DUMMYFUNCTION("""COMPUTED_VALUE"""),44880.66666666667)</f>
        <v>44880.66667</v>
      </c>
      <c r="B899" s="2">
        <f>IFERROR(__xludf.DUMMYFUNCTION("""COMPUTED_VALUE"""),194.42)</f>
        <v>194.42</v>
      </c>
      <c r="C899" s="3">
        <v>222.277583411208</v>
      </c>
    </row>
    <row r="900">
      <c r="A900" s="1">
        <f>IFERROR(__xludf.DUMMYFUNCTION("""COMPUTED_VALUE"""),44881.66666666667)</f>
        <v>44881.66667</v>
      </c>
      <c r="B900" s="2">
        <f>IFERROR(__xludf.DUMMYFUNCTION("""COMPUTED_VALUE"""),186.92)</f>
        <v>186.92</v>
      </c>
      <c r="C900" s="3">
        <v>222.556191212787</v>
      </c>
    </row>
    <row r="901">
      <c r="A901" s="1">
        <f>IFERROR(__xludf.DUMMYFUNCTION("""COMPUTED_VALUE"""),44882.66666666667)</f>
        <v>44882.66667</v>
      </c>
      <c r="B901" s="2">
        <f>IFERROR(__xludf.DUMMYFUNCTION("""COMPUTED_VALUE"""),183.17)</f>
        <v>183.17</v>
      </c>
      <c r="C901" s="3">
        <v>221.705174639742</v>
      </c>
    </row>
    <row r="902">
      <c r="A902" s="1">
        <f>IFERROR(__xludf.DUMMYFUNCTION("""COMPUTED_VALUE"""),44883.66666666667)</f>
        <v>44883.66667</v>
      </c>
      <c r="B902" s="2">
        <f>IFERROR(__xludf.DUMMYFUNCTION("""COMPUTED_VALUE"""),180.19)</f>
        <v>180.19</v>
      </c>
      <c r="C902" s="3">
        <v>221.232927314739</v>
      </c>
    </row>
    <row r="903">
      <c r="A903" s="1">
        <f>IFERROR(__xludf.DUMMYFUNCTION("""COMPUTED_VALUE"""),44886.66666666667)</f>
        <v>44886.66667</v>
      </c>
      <c r="B903" s="2">
        <f>IFERROR(__xludf.DUMMYFUNCTION("""COMPUTED_VALUE"""),167.87)</f>
        <v>167.87</v>
      </c>
      <c r="C903" s="3">
        <v>223.531719323053</v>
      </c>
    </row>
    <row r="904">
      <c r="A904" s="1">
        <f>IFERROR(__xludf.DUMMYFUNCTION("""COMPUTED_VALUE"""),44887.66666666667)</f>
        <v>44887.66667</v>
      </c>
      <c r="B904" s="2">
        <f>IFERROR(__xludf.DUMMYFUNCTION("""COMPUTED_VALUE"""),169.91)</f>
        <v>169.91</v>
      </c>
      <c r="C904" s="3">
        <v>222.796208128125</v>
      </c>
    </row>
    <row r="905">
      <c r="A905" s="1">
        <f>IFERROR(__xludf.DUMMYFUNCTION("""COMPUTED_VALUE"""),44888.66666666667)</f>
        <v>44888.66667</v>
      </c>
      <c r="B905" s="2">
        <f>IFERROR(__xludf.DUMMYFUNCTION("""COMPUTED_VALUE"""),183.2)</f>
        <v>183.2</v>
      </c>
      <c r="C905" s="3">
        <v>223.340357111458</v>
      </c>
    </row>
    <row r="906">
      <c r="A906" s="1">
        <f>IFERROR(__xludf.DUMMYFUNCTION("""COMPUTED_VALUE"""),44890.54513888889)</f>
        <v>44890.54514</v>
      </c>
      <c r="B906" s="2">
        <f>IFERROR(__xludf.DUMMYFUNCTION("""COMPUTED_VALUE"""),182.86)</f>
        <v>182.86</v>
      </c>
      <c r="C906" s="3">
        <v>222.301423803452</v>
      </c>
    </row>
    <row r="907">
      <c r="A907" s="1">
        <f>IFERROR(__xludf.DUMMYFUNCTION("""COMPUTED_VALUE"""),44893.66666666667)</f>
        <v>44893.66667</v>
      </c>
      <c r="B907" s="2">
        <f>IFERROR(__xludf.DUMMYFUNCTION("""COMPUTED_VALUE"""),182.92)</f>
        <v>182.92</v>
      </c>
      <c r="C907" s="3">
        <v>224.290551427246</v>
      </c>
    </row>
    <row r="908">
      <c r="A908" s="1">
        <f>IFERROR(__xludf.DUMMYFUNCTION("""COMPUTED_VALUE"""),44894.66666666667)</f>
        <v>44894.66667</v>
      </c>
      <c r="B908" s="2">
        <f>IFERROR(__xludf.DUMMYFUNCTION("""COMPUTED_VALUE"""),180.83)</f>
        <v>180.83</v>
      </c>
      <c r="C908" s="3">
        <v>223.244059318264</v>
      </c>
    </row>
    <row r="909">
      <c r="A909" s="1">
        <f>IFERROR(__xludf.DUMMYFUNCTION("""COMPUTED_VALUE"""),44895.66666666667)</f>
        <v>44895.66667</v>
      </c>
      <c r="B909" s="2">
        <f>IFERROR(__xludf.DUMMYFUNCTION("""COMPUTED_VALUE"""),194.7)</f>
        <v>194.7</v>
      </c>
      <c r="C909" s="3">
        <v>223.377752901492</v>
      </c>
    </row>
    <row r="910">
      <c r="A910" s="1">
        <f>IFERROR(__xludf.DUMMYFUNCTION("""COMPUTED_VALUE"""),44896.66666666667)</f>
        <v>44896.66667</v>
      </c>
      <c r="B910" s="2">
        <f>IFERROR(__xludf.DUMMYFUNCTION("""COMPUTED_VALUE"""),194.7)</f>
        <v>194.7</v>
      </c>
      <c r="C910" s="3">
        <v>222.211024280369</v>
      </c>
    </row>
    <row r="911">
      <c r="A911" s="1">
        <f>IFERROR(__xludf.DUMMYFUNCTION("""COMPUTED_VALUE"""),44897.66666666667)</f>
        <v>44897.66667</v>
      </c>
      <c r="B911" s="2">
        <f>IFERROR(__xludf.DUMMYFUNCTION("""COMPUTED_VALUE"""),194.86)</f>
        <v>194.86</v>
      </c>
      <c r="C911" s="3">
        <v>221.252005641635</v>
      </c>
    </row>
    <row r="912">
      <c r="A912" s="1">
        <f>IFERROR(__xludf.DUMMYFUNCTION("""COMPUTED_VALUE"""),44900.66666666667)</f>
        <v>44900.66667</v>
      </c>
      <c r="B912" s="2">
        <f>IFERROR(__xludf.DUMMYFUNCTION("""COMPUTED_VALUE"""),182.45)</f>
        <v>182.45</v>
      </c>
      <c r="C912" s="3">
        <v>221.140290753012</v>
      </c>
    </row>
    <row r="913">
      <c r="A913" s="1">
        <f>IFERROR(__xludf.DUMMYFUNCTION("""COMPUTED_VALUE"""),44901.66666666667)</f>
        <v>44901.66667</v>
      </c>
      <c r="B913" s="2">
        <f>IFERROR(__xludf.DUMMYFUNCTION("""COMPUTED_VALUE"""),179.82)</f>
        <v>179.82</v>
      </c>
      <c r="C913" s="3">
        <v>219.335130580502</v>
      </c>
    </row>
    <row r="914">
      <c r="A914" s="1">
        <f>IFERROR(__xludf.DUMMYFUNCTION("""COMPUTED_VALUE"""),44902.66666666667)</f>
        <v>44902.66667</v>
      </c>
      <c r="B914" s="2">
        <f>IFERROR(__xludf.DUMMYFUNCTION("""COMPUTED_VALUE"""),174.04)</f>
        <v>174.04</v>
      </c>
      <c r="C914" s="3">
        <v>218.713201504906</v>
      </c>
    </row>
    <row r="915">
      <c r="A915" s="1">
        <f>IFERROR(__xludf.DUMMYFUNCTION("""COMPUTED_VALUE"""),44903.66666666667)</f>
        <v>44903.66667</v>
      </c>
      <c r="B915" s="2">
        <f>IFERROR(__xludf.DUMMYFUNCTION("""COMPUTED_VALUE"""),173.44)</f>
        <v>173.44</v>
      </c>
      <c r="C915" s="3">
        <v>216.814162240795</v>
      </c>
    </row>
    <row r="916">
      <c r="A916" s="1">
        <f>IFERROR(__xludf.DUMMYFUNCTION("""COMPUTED_VALUE"""),44904.66666666667)</f>
        <v>44904.66667</v>
      </c>
      <c r="B916" s="2">
        <f>IFERROR(__xludf.DUMMYFUNCTION("""COMPUTED_VALUE"""),179.05)</f>
        <v>179.05</v>
      </c>
      <c r="C916" s="3">
        <v>215.166218163875</v>
      </c>
    </row>
    <row r="917">
      <c r="A917" s="1">
        <f>IFERROR(__xludf.DUMMYFUNCTION("""COMPUTED_VALUE"""),44907.66666666667)</f>
        <v>44907.66667</v>
      </c>
      <c r="B917" s="2">
        <f>IFERROR(__xludf.DUMMYFUNCTION("""COMPUTED_VALUE"""),167.82)</f>
        <v>167.82</v>
      </c>
      <c r="C917" s="3">
        <v>213.433645667147</v>
      </c>
    </row>
    <row r="918">
      <c r="A918" s="1">
        <f>IFERROR(__xludf.DUMMYFUNCTION("""COMPUTED_VALUE"""),44908.66666666667)</f>
        <v>44908.66667</v>
      </c>
      <c r="B918" s="2">
        <f>IFERROR(__xludf.DUMMYFUNCTION("""COMPUTED_VALUE"""),160.95)</f>
        <v>160.95</v>
      </c>
      <c r="C918" s="3">
        <v>211.289817235954</v>
      </c>
    </row>
    <row r="919">
      <c r="A919" s="1">
        <f>IFERROR(__xludf.DUMMYFUNCTION("""COMPUTED_VALUE"""),44909.66666666667)</f>
        <v>44909.66667</v>
      </c>
      <c r="B919" s="2">
        <f>IFERROR(__xludf.DUMMYFUNCTION("""COMPUTED_VALUE"""),156.8)</f>
        <v>156.8</v>
      </c>
      <c r="C919" s="3">
        <v>210.450357203771</v>
      </c>
    </row>
    <row r="920">
      <c r="A920" s="1">
        <f>IFERROR(__xludf.DUMMYFUNCTION("""COMPUTED_VALUE"""),44910.66666666667)</f>
        <v>44910.66667</v>
      </c>
      <c r="B920" s="2">
        <f>IFERROR(__xludf.DUMMYFUNCTION("""COMPUTED_VALUE"""),157.67)</f>
        <v>157.67</v>
      </c>
      <c r="C920" s="3">
        <v>208.462575284188</v>
      </c>
    </row>
    <row r="921">
      <c r="A921" s="1">
        <f>IFERROR(__xludf.DUMMYFUNCTION("""COMPUTED_VALUE"""),44911.66666666667)</f>
        <v>44911.66667</v>
      </c>
      <c r="B921" s="2">
        <f>IFERROR(__xludf.DUMMYFUNCTION("""COMPUTED_VALUE"""),150.23)</f>
        <v>150.23</v>
      </c>
      <c r="C921" s="3">
        <v>206.858880485063</v>
      </c>
    </row>
    <row r="922">
      <c r="A922" s="1">
        <f>IFERROR(__xludf.DUMMYFUNCTION("""COMPUTED_VALUE"""),44914.66666666667)</f>
        <v>44914.66667</v>
      </c>
      <c r="B922" s="2">
        <f>IFERROR(__xludf.DUMMYFUNCTION("""COMPUTED_VALUE"""),149.87)</f>
        <v>149.87</v>
      </c>
      <c r="C922" s="3">
        <v>206.044406792409</v>
      </c>
    </row>
    <row r="923">
      <c r="A923" s="1">
        <f>IFERROR(__xludf.DUMMYFUNCTION("""COMPUTED_VALUE"""),44915.66666666667)</f>
        <v>44915.66667</v>
      </c>
      <c r="B923" s="2">
        <f>IFERROR(__xludf.DUMMYFUNCTION("""COMPUTED_VALUE"""),137.8)</f>
        <v>137.8</v>
      </c>
      <c r="C923" s="3">
        <v>204.44597148243</v>
      </c>
    </row>
    <row r="924">
      <c r="A924" s="1">
        <f>IFERROR(__xludf.DUMMYFUNCTION("""COMPUTED_VALUE"""),44916.66666666667)</f>
        <v>44916.66667</v>
      </c>
      <c r="B924" s="2">
        <f>IFERROR(__xludf.DUMMYFUNCTION("""COMPUTED_VALUE"""),137.57)</f>
        <v>137.57</v>
      </c>
      <c r="C924" s="3">
        <v>204.251743943318</v>
      </c>
    </row>
    <row r="925">
      <c r="A925" s="1">
        <f>IFERROR(__xludf.DUMMYFUNCTION("""COMPUTED_VALUE"""),44917.66666666667)</f>
        <v>44917.66667</v>
      </c>
      <c r="B925" s="2">
        <f>IFERROR(__xludf.DUMMYFUNCTION("""COMPUTED_VALUE"""),125.35)</f>
        <v>125.35</v>
      </c>
      <c r="C925" s="3">
        <v>202.992524483996</v>
      </c>
    </row>
    <row r="926">
      <c r="A926" s="1">
        <f>IFERROR(__xludf.DUMMYFUNCTION("""COMPUTED_VALUE"""),44918.66666666667)</f>
        <v>44918.66667</v>
      </c>
      <c r="B926" s="2">
        <f>IFERROR(__xludf.DUMMYFUNCTION("""COMPUTED_VALUE"""),123.15)</f>
        <v>123.15</v>
      </c>
      <c r="C926" s="3">
        <v>202.181697372921</v>
      </c>
    </row>
    <row r="927">
      <c r="A927" s="1">
        <f>IFERROR(__xludf.DUMMYFUNCTION("""COMPUTED_VALUE"""),44922.66666666667)</f>
        <v>44922.66667</v>
      </c>
      <c r="B927" s="2">
        <f>IFERROR(__xludf.DUMMYFUNCTION("""COMPUTED_VALUE"""),109.1)</f>
        <v>109.1</v>
      </c>
      <c r="C927" s="3">
        <v>203.144582485516</v>
      </c>
    </row>
    <row r="928">
      <c r="A928" s="1">
        <f>IFERROR(__xludf.DUMMYFUNCTION("""COMPUTED_VALUE"""),44923.66666666667)</f>
        <v>44923.66667</v>
      </c>
      <c r="B928" s="2">
        <f>IFERROR(__xludf.DUMMYFUNCTION("""COMPUTED_VALUE"""),112.71)</f>
        <v>112.71</v>
      </c>
      <c r="C928" s="3">
        <v>203.729634599696</v>
      </c>
    </row>
    <row r="929">
      <c r="A929" s="1">
        <f>IFERROR(__xludf.DUMMYFUNCTION("""COMPUTED_VALUE"""),44924.66666666667)</f>
        <v>44924.66667</v>
      </c>
      <c r="B929" s="2">
        <f>IFERROR(__xludf.DUMMYFUNCTION("""COMPUTED_VALUE"""),121.82)</f>
        <v>121.82</v>
      </c>
      <c r="C929" s="3">
        <v>203.691627396311</v>
      </c>
    </row>
    <row r="930">
      <c r="A930" s="1">
        <f>IFERROR(__xludf.DUMMYFUNCTION("""COMPUTED_VALUE"""),44925.66666666667)</f>
        <v>44925.66667</v>
      </c>
      <c r="B930" s="2">
        <f>IFERROR(__xludf.DUMMYFUNCTION("""COMPUTED_VALUE"""),123.18)</f>
        <v>123.18</v>
      </c>
      <c r="C930" s="3">
        <v>204.010861076442</v>
      </c>
    </row>
    <row r="931">
      <c r="A931" s="1">
        <f>IFERROR(__xludf.DUMMYFUNCTION("""COMPUTED_VALUE"""),44929.66666666667)</f>
        <v>44929.66667</v>
      </c>
      <c r="B931" s="2">
        <f>IFERROR(__xludf.DUMMYFUNCTION("""COMPUTED_VALUE"""),108.1)</f>
        <v>108.1</v>
      </c>
      <c r="C931" s="3">
        <v>208.271272185498</v>
      </c>
    </row>
    <row r="932">
      <c r="A932" s="1">
        <f>IFERROR(__xludf.DUMMYFUNCTION("""COMPUTED_VALUE"""),44930.66666666667)</f>
        <v>44930.66667</v>
      </c>
      <c r="B932" s="2">
        <f>IFERROR(__xludf.DUMMYFUNCTION("""COMPUTED_VALUE"""),113.64)</f>
        <v>113.64</v>
      </c>
      <c r="C932" s="3">
        <v>209.326474050101</v>
      </c>
    </row>
    <row r="933">
      <c r="A933" s="1">
        <f>IFERROR(__xludf.DUMMYFUNCTION("""COMPUTED_VALUE"""),44931.66666666667)</f>
        <v>44931.66667</v>
      </c>
      <c r="B933" s="2">
        <f>IFERROR(__xludf.DUMMYFUNCTION("""COMPUTED_VALUE"""),110.34)</f>
        <v>110.34</v>
      </c>
      <c r="C933" s="3">
        <v>209.09800825621</v>
      </c>
    </row>
    <row r="934">
      <c r="A934" s="1">
        <f>IFERROR(__xludf.DUMMYFUNCTION("""COMPUTED_VALUE"""),44932.66666666667)</f>
        <v>44932.66667</v>
      </c>
      <c r="B934" s="2">
        <f>IFERROR(__xludf.DUMMYFUNCTION("""COMPUTED_VALUE"""),113.06)</f>
        <v>113.06</v>
      </c>
      <c r="C934" s="3">
        <v>209.083228375432</v>
      </c>
    </row>
    <row r="935">
      <c r="A935" s="1">
        <f>IFERROR(__xludf.DUMMYFUNCTION("""COMPUTED_VALUE"""),44935.66666666667)</f>
        <v>44935.66667</v>
      </c>
      <c r="B935" s="2">
        <f>IFERROR(__xludf.DUMMYFUNCTION("""COMPUTED_VALUE"""),119.77)</f>
        <v>119.77</v>
      </c>
      <c r="C935" s="3">
        <v>211.733311200188</v>
      </c>
    </row>
    <row r="936">
      <c r="A936" s="1">
        <f>IFERROR(__xludf.DUMMYFUNCTION("""COMPUTED_VALUE"""),44936.66666666667)</f>
        <v>44936.66667</v>
      </c>
      <c r="B936" s="2">
        <f>IFERROR(__xludf.DUMMYFUNCTION("""COMPUTED_VALUE"""),118.85)</f>
        <v>118.85</v>
      </c>
      <c r="C936" s="3">
        <v>210.791633461691</v>
      </c>
    </row>
    <row r="937">
      <c r="A937" s="1">
        <f>IFERROR(__xludf.DUMMYFUNCTION("""COMPUTED_VALUE"""),44937.66666666667)</f>
        <v>44937.66667</v>
      </c>
      <c r="B937" s="2">
        <f>IFERROR(__xludf.DUMMYFUNCTION("""COMPUTED_VALUE"""),123.22)</f>
        <v>123.22</v>
      </c>
      <c r="C937" s="3">
        <v>210.989802378541</v>
      </c>
    </row>
    <row r="938">
      <c r="A938" s="1">
        <f>IFERROR(__xludf.DUMMYFUNCTION("""COMPUTED_VALUE"""),44938.66666666667)</f>
        <v>44938.66667</v>
      </c>
      <c r="B938" s="2">
        <f>IFERROR(__xludf.DUMMYFUNCTION("""COMPUTED_VALUE"""),123.56)</f>
        <v>123.56</v>
      </c>
      <c r="C938" s="3">
        <v>209.860198442346</v>
      </c>
    </row>
    <row r="939">
      <c r="A939" s="1">
        <f>IFERROR(__xludf.DUMMYFUNCTION("""COMPUTED_VALUE"""),44939.66666666667)</f>
        <v>44939.66667</v>
      </c>
      <c r="B939" s="2">
        <f>IFERROR(__xludf.DUMMYFUNCTION("""COMPUTED_VALUE"""),122.4)</f>
        <v>122.4</v>
      </c>
      <c r="C939" s="3">
        <v>208.925096238281</v>
      </c>
    </row>
    <row r="940">
      <c r="A940" s="1">
        <f>IFERROR(__xludf.DUMMYFUNCTION("""COMPUTED_VALUE"""),44943.66666666667)</f>
        <v>44943.66667</v>
      </c>
      <c r="B940" s="2">
        <f>IFERROR(__xludf.DUMMYFUNCTION("""COMPUTED_VALUE"""),131.49)</f>
        <v>131.49</v>
      </c>
      <c r="C940" s="3">
        <v>207.270064334233</v>
      </c>
    </row>
    <row r="941">
      <c r="A941" s="1">
        <f>IFERROR(__xludf.DUMMYFUNCTION("""COMPUTED_VALUE"""),44944.66666666667)</f>
        <v>44944.66667</v>
      </c>
      <c r="B941" s="2">
        <f>IFERROR(__xludf.DUMMYFUNCTION("""COMPUTED_VALUE"""),128.78)</f>
        <v>128.78</v>
      </c>
      <c r="C941" s="3">
        <v>206.827077484794</v>
      </c>
    </row>
    <row r="942">
      <c r="A942" s="1">
        <f>IFERROR(__xludf.DUMMYFUNCTION("""COMPUTED_VALUE"""),44945.66666666667)</f>
        <v>44945.66667</v>
      </c>
      <c r="B942" s="2">
        <f>IFERROR(__xludf.DUMMYFUNCTION("""COMPUTED_VALUE"""),127.17)</f>
        <v>127.17</v>
      </c>
      <c r="C942" s="3">
        <v>205.177568981695</v>
      </c>
    </row>
    <row r="943">
      <c r="A943" s="1">
        <f>IFERROR(__xludf.DUMMYFUNCTION("""COMPUTED_VALUE"""),44946.66666666667)</f>
        <v>44946.66667</v>
      </c>
      <c r="B943" s="2">
        <f>IFERROR(__xludf.DUMMYFUNCTION("""COMPUTED_VALUE"""),133.42)</f>
        <v>133.42</v>
      </c>
      <c r="C943" s="3">
        <v>203.859398846228</v>
      </c>
    </row>
    <row r="944">
      <c r="A944" s="1">
        <f>IFERROR(__xludf.DUMMYFUNCTION("""COMPUTED_VALUE"""),44949.66666666667)</f>
        <v>44949.66667</v>
      </c>
      <c r="B944" s="2">
        <f>IFERROR(__xludf.DUMMYFUNCTION("""COMPUTED_VALUE"""),143.75)</f>
        <v>143.75</v>
      </c>
      <c r="C944" s="3">
        <v>203.659099250226</v>
      </c>
    </row>
    <row r="945">
      <c r="A945" s="1">
        <f>IFERROR(__xludf.DUMMYFUNCTION("""COMPUTED_VALUE"""),44950.66666666667)</f>
        <v>44950.66667</v>
      </c>
      <c r="B945" s="2">
        <f>IFERROR(__xludf.DUMMYFUNCTION("""COMPUTED_VALUE"""),143.89)</f>
        <v>143.89</v>
      </c>
      <c r="C945" s="3">
        <v>202.214333219834</v>
      </c>
    </row>
    <row r="946">
      <c r="A946" s="1">
        <f>IFERROR(__xludf.DUMMYFUNCTION("""COMPUTED_VALUE"""),44951.66666666667)</f>
        <v>44951.66667</v>
      </c>
      <c r="B946" s="2">
        <f>IFERROR(__xludf.DUMMYFUNCTION("""COMPUTED_VALUE"""),144.43)</f>
        <v>144.43</v>
      </c>
      <c r="C946" s="3">
        <v>202.164759617668</v>
      </c>
    </row>
    <row r="947">
      <c r="A947" s="1">
        <f>IFERROR(__xludf.DUMMYFUNCTION("""COMPUTED_VALUE"""),44952.66666666667)</f>
        <v>44952.66667</v>
      </c>
      <c r="B947" s="2">
        <f>IFERROR(__xludf.DUMMYFUNCTION("""COMPUTED_VALUE"""),160.27)</f>
        <v>160.27</v>
      </c>
      <c r="C947" s="3">
        <v>201.051476515787</v>
      </c>
    </row>
    <row r="948">
      <c r="A948" s="1">
        <f>IFERROR(__xludf.DUMMYFUNCTION("""COMPUTED_VALUE"""),44953.66666666667)</f>
        <v>44953.66667</v>
      </c>
      <c r="B948" s="2">
        <f>IFERROR(__xludf.DUMMYFUNCTION("""COMPUTED_VALUE"""),177.9)</f>
        <v>177.9</v>
      </c>
      <c r="C948" s="3">
        <v>200.398004939464</v>
      </c>
    </row>
    <row r="949">
      <c r="A949" s="1">
        <f>IFERROR(__xludf.DUMMYFUNCTION("""COMPUTED_VALUE"""),44956.66666666667)</f>
        <v>44956.66667</v>
      </c>
      <c r="B949" s="2">
        <f>IFERROR(__xludf.DUMMYFUNCTION("""COMPUTED_VALUE"""),166.66)</f>
        <v>166.66</v>
      </c>
      <c r="C949" s="3">
        <v>202.764142648055</v>
      </c>
    </row>
    <row r="950">
      <c r="A950" s="1">
        <f>IFERROR(__xludf.DUMMYFUNCTION("""COMPUTED_VALUE"""),44957.66666666667)</f>
        <v>44957.66667</v>
      </c>
      <c r="B950" s="2">
        <f>IFERROR(__xludf.DUMMYFUNCTION("""COMPUTED_VALUE"""),173.22)</f>
        <v>173.22</v>
      </c>
      <c r="C950" s="3">
        <v>202.284734636789</v>
      </c>
    </row>
    <row r="951">
      <c r="A951" s="1">
        <f>IFERROR(__xludf.DUMMYFUNCTION("""COMPUTED_VALUE"""),44958.66666666667)</f>
        <v>44958.66667</v>
      </c>
      <c r="B951" s="2">
        <f>IFERROR(__xludf.DUMMYFUNCTION("""COMPUTED_VALUE"""),181.41)</f>
        <v>181.41</v>
      </c>
      <c r="C951" s="3">
        <v>203.209854163303</v>
      </c>
    </row>
    <row r="952">
      <c r="A952" s="1">
        <f>IFERROR(__xludf.DUMMYFUNCTION("""COMPUTED_VALUE"""),44959.66666666667)</f>
        <v>44959.66667</v>
      </c>
      <c r="B952" s="2">
        <f>IFERROR(__xludf.DUMMYFUNCTION("""COMPUTED_VALUE"""),188.27)</f>
        <v>188.27</v>
      </c>
      <c r="C952" s="3">
        <v>203.051651798174</v>
      </c>
    </row>
    <row r="953">
      <c r="A953" s="1">
        <f>IFERROR(__xludf.DUMMYFUNCTION("""COMPUTED_VALUE"""),44960.66666666667)</f>
        <v>44960.66667</v>
      </c>
      <c r="B953" s="2">
        <f>IFERROR(__xludf.DUMMYFUNCTION("""COMPUTED_VALUE"""),189.98)</f>
        <v>189.98</v>
      </c>
      <c r="C953" s="3">
        <v>203.304722710012</v>
      </c>
    </row>
    <row r="954">
      <c r="A954" s="1">
        <f>IFERROR(__xludf.DUMMYFUNCTION("""COMPUTED_VALUE"""),44963.66666666667)</f>
        <v>44963.66667</v>
      </c>
      <c r="B954" s="2">
        <f>IFERROR(__xludf.DUMMYFUNCTION("""COMPUTED_VALUE"""),194.76)</f>
        <v>194.76</v>
      </c>
      <c r="C954" s="3">
        <v>207.826736581385</v>
      </c>
    </row>
    <row r="955">
      <c r="A955" s="1">
        <f>IFERROR(__xludf.DUMMYFUNCTION("""COMPUTED_VALUE"""),44964.66666666667)</f>
        <v>44964.66667</v>
      </c>
      <c r="B955" s="2">
        <f>IFERROR(__xludf.DUMMYFUNCTION("""COMPUTED_VALUE"""),196.81)</f>
        <v>196.81</v>
      </c>
      <c r="C955" s="3">
        <v>207.797999384045</v>
      </c>
    </row>
    <row r="956">
      <c r="A956" s="1">
        <f>IFERROR(__xludf.DUMMYFUNCTION("""COMPUTED_VALUE"""),44965.66666666667)</f>
        <v>44965.66667</v>
      </c>
      <c r="B956" s="2">
        <f>IFERROR(__xludf.DUMMYFUNCTION("""COMPUTED_VALUE"""),201.29)</f>
        <v>201.29</v>
      </c>
      <c r="C956" s="3">
        <v>209.007562124253</v>
      </c>
    </row>
    <row r="957">
      <c r="A957" s="1">
        <f>IFERROR(__xludf.DUMMYFUNCTION("""COMPUTED_VALUE"""),44966.66666666667)</f>
        <v>44966.66667</v>
      </c>
      <c r="B957" s="2">
        <f>IFERROR(__xludf.DUMMYFUNCTION("""COMPUTED_VALUE"""),207.32)</f>
        <v>207.32</v>
      </c>
      <c r="C957" s="3">
        <v>208.954092084408</v>
      </c>
    </row>
    <row r="958">
      <c r="A958" s="1">
        <f>IFERROR(__xludf.DUMMYFUNCTION("""COMPUTED_VALUE"""),44967.66666666667)</f>
        <v>44967.66667</v>
      </c>
      <c r="B958" s="2">
        <f>IFERROR(__xludf.DUMMYFUNCTION("""COMPUTED_VALUE"""),196.89)</f>
        <v>196.89</v>
      </c>
      <c r="C958" s="3">
        <v>209.123234666188</v>
      </c>
    </row>
    <row r="959">
      <c r="A959" s="1">
        <f>IFERROR(__xludf.DUMMYFUNCTION("""COMPUTED_VALUE"""),44970.66666666667)</f>
        <v>44970.66667</v>
      </c>
      <c r="B959" s="2">
        <f>IFERROR(__xludf.DUMMYFUNCTION("""COMPUTED_VALUE"""),194.64)</f>
        <v>194.64</v>
      </c>
      <c r="C959" s="3">
        <v>212.245259608052</v>
      </c>
    </row>
    <row r="960">
      <c r="A960" s="1">
        <f>IFERROR(__xludf.DUMMYFUNCTION("""COMPUTED_VALUE"""),44971.66666666667)</f>
        <v>44971.66667</v>
      </c>
      <c r="B960" s="2">
        <f>IFERROR(__xludf.DUMMYFUNCTION("""COMPUTED_VALUE"""),209.25)</f>
        <v>209.25</v>
      </c>
      <c r="C960" s="3">
        <v>211.386683365303</v>
      </c>
    </row>
    <row r="961">
      <c r="A961" s="1">
        <f>IFERROR(__xludf.DUMMYFUNCTION("""COMPUTED_VALUE"""),44972.66666666667)</f>
        <v>44972.66667</v>
      </c>
      <c r="B961" s="2">
        <f>IFERROR(__xludf.DUMMYFUNCTION("""COMPUTED_VALUE"""),214.24)</f>
        <v>214.24</v>
      </c>
      <c r="C961" s="3">
        <v>211.606746464391</v>
      </c>
    </row>
    <row r="962">
      <c r="A962" s="1">
        <f>IFERROR(__xludf.DUMMYFUNCTION("""COMPUTED_VALUE"""),44973.66666666667)</f>
        <v>44973.66667</v>
      </c>
      <c r="B962" s="2">
        <f>IFERROR(__xludf.DUMMYFUNCTION("""COMPUTED_VALUE"""),202.04)</f>
        <v>202.04</v>
      </c>
      <c r="C962" s="3">
        <v>210.423997522661</v>
      </c>
    </row>
    <row r="963">
      <c r="A963" s="1">
        <f>IFERROR(__xludf.DUMMYFUNCTION("""COMPUTED_VALUE"""),44974.66666666667)</f>
        <v>44974.66667</v>
      </c>
      <c r="B963" s="2">
        <f>IFERROR(__xludf.DUMMYFUNCTION("""COMPUTED_VALUE"""),208.31)</f>
        <v>208.31</v>
      </c>
      <c r="C963" s="3">
        <v>209.347844867333</v>
      </c>
    </row>
    <row r="964">
      <c r="A964" s="1">
        <f>IFERROR(__xludf.DUMMYFUNCTION("""COMPUTED_VALUE"""),44978.66666666667)</f>
        <v>44978.66667</v>
      </c>
      <c r="B964" s="2">
        <f>IFERROR(__xludf.DUMMYFUNCTION("""COMPUTED_VALUE"""),197.37)</f>
        <v>197.37</v>
      </c>
      <c r="C964" s="3">
        <v>206.04661846242</v>
      </c>
    </row>
    <row r="965">
      <c r="A965" s="1">
        <f>IFERROR(__xludf.DUMMYFUNCTION("""COMPUTED_VALUE"""),44979.66666666667)</f>
        <v>44979.66667</v>
      </c>
      <c r="B965" s="2">
        <f>IFERROR(__xludf.DUMMYFUNCTION("""COMPUTED_VALUE"""),200.86)</f>
        <v>200.86</v>
      </c>
      <c r="C965" s="3">
        <v>204.888998440837</v>
      </c>
    </row>
    <row r="966">
      <c r="A966" s="1">
        <f>IFERROR(__xludf.DUMMYFUNCTION("""COMPUTED_VALUE"""),44980.66666666667)</f>
        <v>44980.66667</v>
      </c>
      <c r="B966" s="2">
        <f>IFERROR(__xludf.DUMMYFUNCTION("""COMPUTED_VALUE"""),202.07)</f>
        <v>202.07</v>
      </c>
      <c r="C966" s="3">
        <v>202.399327627794</v>
      </c>
    </row>
    <row r="967">
      <c r="A967" s="1">
        <f>IFERROR(__xludf.DUMMYFUNCTION("""COMPUTED_VALUE"""),44981.66666666667)</f>
        <v>44981.66667</v>
      </c>
      <c r="B967" s="2">
        <f>IFERROR(__xludf.DUMMYFUNCTION("""COMPUTED_VALUE"""),196.88)</f>
        <v>196.88</v>
      </c>
      <c r="C967" s="3">
        <v>200.11821367004</v>
      </c>
    </row>
    <row r="968">
      <c r="A968" s="1">
        <f>IFERROR(__xludf.DUMMYFUNCTION("""COMPUTED_VALUE"""),44984.66666666667)</f>
        <v>44984.66667</v>
      </c>
      <c r="B968" s="2">
        <f>IFERROR(__xludf.DUMMYFUNCTION("""COMPUTED_VALUE"""),207.63)</f>
        <v>207.63</v>
      </c>
      <c r="C968" s="3">
        <v>196.36413992093</v>
      </c>
    </row>
    <row r="969">
      <c r="A969" s="1">
        <f>IFERROR(__xludf.DUMMYFUNCTION("""COMPUTED_VALUE"""),44985.66666666667)</f>
        <v>44985.66667</v>
      </c>
      <c r="B969" s="2">
        <f>IFERROR(__xludf.DUMMYFUNCTION("""COMPUTED_VALUE"""),205.71)</f>
        <v>205.71</v>
      </c>
      <c r="C969" s="3">
        <v>193.551500141593</v>
      </c>
    </row>
    <row r="970">
      <c r="A970" s="1">
        <f>IFERROR(__xludf.DUMMYFUNCTION("""COMPUTED_VALUE"""),44986.66666666667)</f>
        <v>44986.66667</v>
      </c>
      <c r="B970" s="2">
        <f>IFERROR(__xludf.DUMMYFUNCTION("""COMPUTED_VALUE"""),202.77)</f>
        <v>202.77</v>
      </c>
      <c r="C970" s="3">
        <v>192.068351889498</v>
      </c>
    </row>
    <row r="971">
      <c r="A971" s="1">
        <f>IFERROR(__xludf.DUMMYFUNCTION("""COMPUTED_VALUE"""),44987.66666666667)</f>
        <v>44987.66667</v>
      </c>
      <c r="B971" s="2">
        <f>IFERROR(__xludf.DUMMYFUNCTION("""COMPUTED_VALUE"""),190.9)</f>
        <v>190.9</v>
      </c>
      <c r="C971" s="3">
        <v>189.474950019476</v>
      </c>
    </row>
    <row r="972">
      <c r="A972" s="1">
        <f>IFERROR(__xludf.DUMMYFUNCTION("""COMPUTED_VALUE"""),44988.66666666667)</f>
        <v>44988.66667</v>
      </c>
      <c r="B972" s="2">
        <f>IFERROR(__xludf.DUMMYFUNCTION("""COMPUTED_VALUE"""),197.79)</f>
        <v>197.79</v>
      </c>
      <c r="C972" s="3">
        <v>187.315947395784</v>
      </c>
    </row>
    <row r="973">
      <c r="A973" s="1">
        <f>IFERROR(__xludf.DUMMYFUNCTION("""COMPUTED_VALUE"""),44991.66666666667)</f>
        <v>44991.66667</v>
      </c>
      <c r="B973" s="2">
        <f>IFERROR(__xludf.DUMMYFUNCTION("""COMPUTED_VALUE"""),193.81)</f>
        <v>193.81</v>
      </c>
      <c r="C973" s="3">
        <v>185.245886807768</v>
      </c>
    </row>
    <row r="974">
      <c r="A974" s="1">
        <f>IFERROR(__xludf.DUMMYFUNCTION("""COMPUTED_VALUE"""),44992.66666666667)</f>
        <v>44992.66667</v>
      </c>
      <c r="B974" s="2">
        <f>IFERROR(__xludf.DUMMYFUNCTION("""COMPUTED_VALUE"""),187.71)</f>
        <v>187.71</v>
      </c>
      <c r="C974" s="3">
        <v>183.396299693891</v>
      </c>
    </row>
    <row r="975">
      <c r="A975" s="1">
        <f>IFERROR(__xludf.DUMMYFUNCTION("""COMPUTED_VALUE"""),44993.66666666667)</f>
        <v>44993.66667</v>
      </c>
      <c r="B975" s="2">
        <f>IFERROR(__xludf.DUMMYFUNCTION("""COMPUTED_VALUE"""),182.0)</f>
        <v>182</v>
      </c>
      <c r="C975" s="3">
        <v>183.046811703426</v>
      </c>
    </row>
    <row r="976">
      <c r="A976" s="1">
        <f>IFERROR(__xludf.DUMMYFUNCTION("""COMPUTED_VALUE"""),44994.66666666667)</f>
        <v>44994.66667</v>
      </c>
      <c r="B976" s="2">
        <f>IFERROR(__xludf.DUMMYFUNCTION("""COMPUTED_VALUE"""),172.92)</f>
        <v>172.92</v>
      </c>
      <c r="C976" s="3">
        <v>181.733573204272</v>
      </c>
    </row>
    <row r="977">
      <c r="A977" s="1">
        <f>IFERROR(__xludf.DUMMYFUNCTION("""COMPUTED_VALUE"""),44995.66666666667)</f>
        <v>44995.66667</v>
      </c>
      <c r="B977" s="2">
        <f>IFERROR(__xludf.DUMMYFUNCTION("""COMPUTED_VALUE"""),173.44)</f>
        <v>173.44</v>
      </c>
      <c r="C977" s="3">
        <v>180.97397660573</v>
      </c>
    </row>
    <row r="978">
      <c r="A978" s="1">
        <f>IFERROR(__xludf.DUMMYFUNCTION("""COMPUTED_VALUE"""),44998.66666666667)</f>
        <v>44998.66667</v>
      </c>
      <c r="B978" s="2">
        <f>IFERROR(__xludf.DUMMYFUNCTION("""COMPUTED_VALUE"""),174.48)</f>
        <v>174.48</v>
      </c>
      <c r="C978" s="3">
        <v>183.512460072594</v>
      </c>
    </row>
    <row r="979">
      <c r="A979" s="1">
        <f>IFERROR(__xludf.DUMMYFUNCTION("""COMPUTED_VALUE"""),44999.66666666667)</f>
        <v>44999.66667</v>
      </c>
      <c r="B979" s="2">
        <f>IFERROR(__xludf.DUMMYFUNCTION("""COMPUTED_VALUE"""),183.26)</f>
        <v>183.26</v>
      </c>
      <c r="C979" s="3">
        <v>183.228636278898</v>
      </c>
    </row>
    <row r="980">
      <c r="A980" s="1">
        <f>IFERROR(__xludf.DUMMYFUNCTION("""COMPUTED_VALUE"""),45000.66666666667)</f>
        <v>45000.66667</v>
      </c>
      <c r="B980" s="2">
        <f>IFERROR(__xludf.DUMMYFUNCTION("""COMPUTED_VALUE"""),180.45)</f>
        <v>180.45</v>
      </c>
      <c r="C980" s="3">
        <v>184.406131028325</v>
      </c>
    </row>
    <row r="981">
      <c r="A981" s="1">
        <f>IFERROR(__xludf.DUMMYFUNCTION("""COMPUTED_VALUE"""),45001.66666666667)</f>
        <v>45001.66667</v>
      </c>
      <c r="B981" s="2">
        <f>IFERROR(__xludf.DUMMYFUNCTION("""COMPUTED_VALUE"""),184.13)</f>
        <v>184.13</v>
      </c>
      <c r="C981" s="3">
        <v>184.550604426339</v>
      </c>
    </row>
    <row r="982">
      <c r="A982" s="1">
        <f>IFERROR(__xludf.DUMMYFUNCTION("""COMPUTED_VALUE"""),45002.66666666667)</f>
        <v>45002.66667</v>
      </c>
      <c r="B982" s="2">
        <f>IFERROR(__xludf.DUMMYFUNCTION("""COMPUTED_VALUE"""),180.13)</f>
        <v>180.13</v>
      </c>
      <c r="C982" s="3">
        <v>185.151088256027</v>
      </c>
    </row>
    <row r="983">
      <c r="A983" s="1">
        <f>IFERROR(__xludf.DUMMYFUNCTION("""COMPUTED_VALUE"""),45005.66666666667)</f>
        <v>45005.66667</v>
      </c>
      <c r="B983" s="2">
        <f>IFERROR(__xludf.DUMMYFUNCTION("""COMPUTED_VALUE"""),183.25)</f>
        <v>183.25</v>
      </c>
      <c r="C983" s="3">
        <v>190.945557347238</v>
      </c>
    </row>
    <row r="984">
      <c r="A984" s="1">
        <f>IFERROR(__xludf.DUMMYFUNCTION("""COMPUTED_VALUE"""),45006.66666666667)</f>
        <v>45006.66667</v>
      </c>
      <c r="B984" s="2">
        <f>IFERROR(__xludf.DUMMYFUNCTION("""COMPUTED_VALUE"""),197.58)</f>
        <v>197.58</v>
      </c>
      <c r="C984" s="3">
        <v>191.411441130787</v>
      </c>
    </row>
    <row r="985">
      <c r="A985" s="1">
        <f>IFERROR(__xludf.DUMMYFUNCTION("""COMPUTED_VALUE"""),45007.66666666667)</f>
        <v>45007.66667</v>
      </c>
      <c r="B985" s="2">
        <f>IFERROR(__xludf.DUMMYFUNCTION("""COMPUTED_VALUE"""),191.15)</f>
        <v>191.15</v>
      </c>
      <c r="C985" s="3">
        <v>193.151009962997</v>
      </c>
    </row>
    <row r="986">
      <c r="A986" s="1">
        <f>IFERROR(__xludf.DUMMYFUNCTION("""COMPUTED_VALUE"""),45008.66666666667)</f>
        <v>45008.66667</v>
      </c>
      <c r="B986" s="2">
        <f>IFERROR(__xludf.DUMMYFUNCTION("""COMPUTED_VALUE"""),192.22)</f>
        <v>192.22</v>
      </c>
      <c r="C986" s="3">
        <v>193.664856567918</v>
      </c>
    </row>
    <row r="987">
      <c r="A987" s="1">
        <f>IFERROR(__xludf.DUMMYFUNCTION("""COMPUTED_VALUE"""),45009.66666666667)</f>
        <v>45009.66667</v>
      </c>
      <c r="B987" s="2">
        <f>IFERROR(__xludf.DUMMYFUNCTION("""COMPUTED_VALUE"""),190.41)</f>
        <v>190.41</v>
      </c>
      <c r="C987" s="3">
        <v>194.441577650222</v>
      </c>
    </row>
    <row r="988">
      <c r="A988" s="1">
        <f>IFERROR(__xludf.DUMMYFUNCTION("""COMPUTED_VALUE"""),45012.66666666667)</f>
        <v>45012.66667</v>
      </c>
      <c r="B988" s="2">
        <f>IFERROR(__xludf.DUMMYFUNCTION("""COMPUTED_VALUE"""),191.81)</f>
        <v>191.81</v>
      </c>
      <c r="C988" s="3">
        <v>199.66810547594</v>
      </c>
    </row>
    <row r="989">
      <c r="A989" s="1">
        <f>IFERROR(__xludf.DUMMYFUNCTION("""COMPUTED_VALUE"""),45013.66666666667)</f>
        <v>45013.66667</v>
      </c>
      <c r="B989" s="2">
        <f>IFERROR(__xludf.DUMMYFUNCTION("""COMPUTED_VALUE"""),189.19)</f>
        <v>189.19</v>
      </c>
      <c r="C989" s="3">
        <v>199.619986740137</v>
      </c>
    </row>
    <row r="990">
      <c r="A990" s="1">
        <f>IFERROR(__xludf.DUMMYFUNCTION("""COMPUTED_VALUE"""),45014.66666666667)</f>
        <v>45014.66667</v>
      </c>
      <c r="B990" s="2">
        <f>IFERROR(__xludf.DUMMYFUNCTION("""COMPUTED_VALUE"""),193.88)</f>
        <v>193.88</v>
      </c>
      <c r="C990" s="3">
        <v>200.71223458217</v>
      </c>
    </row>
    <row r="991">
      <c r="A991" s="1">
        <f>IFERROR(__xludf.DUMMYFUNCTION("""COMPUTED_VALUE"""),45015.66666666667)</f>
        <v>45015.66667</v>
      </c>
      <c r="B991" s="2">
        <f>IFERROR(__xludf.DUMMYFUNCTION("""COMPUTED_VALUE"""),195.28)</f>
        <v>195.28</v>
      </c>
      <c r="C991" s="3">
        <v>200.466898792614</v>
      </c>
    </row>
    <row r="992">
      <c r="A992" s="1">
        <f>IFERROR(__xludf.DUMMYFUNCTION("""COMPUTED_VALUE"""),45016.66666666667)</f>
        <v>45016.66667</v>
      </c>
      <c r="B992" s="2">
        <f>IFERROR(__xludf.DUMMYFUNCTION("""COMPUTED_VALUE"""),207.46)</f>
        <v>207.46</v>
      </c>
      <c r="C992" s="3">
        <v>200.395868125387</v>
      </c>
    </row>
    <row r="993">
      <c r="A993" s="1">
        <f>IFERROR(__xludf.DUMMYFUNCTION("""COMPUTED_VALUE"""),45019.66666666667)</f>
        <v>45019.66667</v>
      </c>
      <c r="B993" s="2">
        <f>IFERROR(__xludf.DUMMYFUNCTION("""COMPUTED_VALUE"""),194.77)</f>
        <v>194.77</v>
      </c>
      <c r="C993" s="3">
        <v>202.794082841533</v>
      </c>
    </row>
    <row r="994">
      <c r="A994" s="1">
        <f>IFERROR(__xludf.DUMMYFUNCTION("""COMPUTED_VALUE"""),45020.66666666667)</f>
        <v>45020.66667</v>
      </c>
      <c r="B994" s="2">
        <f>IFERROR(__xludf.DUMMYFUNCTION("""COMPUTED_VALUE"""),192.58)</f>
        <v>192.58</v>
      </c>
      <c r="C994" s="3">
        <v>201.790032725809</v>
      </c>
    </row>
    <row r="995">
      <c r="A995" s="1">
        <f>IFERROR(__xludf.DUMMYFUNCTION("""COMPUTED_VALUE"""),45021.66666666667)</f>
        <v>45021.66667</v>
      </c>
      <c r="B995" s="2">
        <f>IFERROR(__xludf.DUMMYFUNCTION("""COMPUTED_VALUE"""),185.52)</f>
        <v>185.52</v>
      </c>
      <c r="C995" s="3">
        <v>201.958288143703</v>
      </c>
    </row>
    <row r="996">
      <c r="A996" s="1">
        <f>IFERROR(__xludf.DUMMYFUNCTION("""COMPUTED_VALUE"""),45022.66666666667)</f>
        <v>45022.66667</v>
      </c>
      <c r="B996" s="2">
        <f>IFERROR(__xludf.DUMMYFUNCTION("""COMPUTED_VALUE"""),185.06)</f>
        <v>185.06</v>
      </c>
      <c r="C996" s="3">
        <v>200.841313319407</v>
      </c>
    </row>
    <row r="997">
      <c r="A997" s="1">
        <f>IFERROR(__xludf.DUMMYFUNCTION("""COMPUTED_VALUE"""),45026.66666666667)</f>
        <v>45026.66667</v>
      </c>
      <c r="B997" s="2">
        <f>IFERROR(__xludf.DUMMYFUNCTION("""COMPUTED_VALUE"""),184.51)</f>
        <v>184.51</v>
      </c>
      <c r="C997" s="3">
        <v>200.517827972847</v>
      </c>
    </row>
    <row r="998">
      <c r="A998" s="1">
        <f>IFERROR(__xludf.DUMMYFUNCTION("""COMPUTED_VALUE"""),45027.66666666667)</f>
        <v>45027.66667</v>
      </c>
      <c r="B998" s="2">
        <f>IFERROR(__xludf.DUMMYFUNCTION("""COMPUTED_VALUE"""),186.79)</f>
        <v>186.79</v>
      </c>
      <c r="C998" s="3">
        <v>199.10983204926</v>
      </c>
    </row>
    <row r="999">
      <c r="A999" s="1">
        <f>IFERROR(__xludf.DUMMYFUNCTION("""COMPUTED_VALUE"""),45028.66666666667)</f>
        <v>45028.66667</v>
      </c>
      <c r="B999" s="2">
        <f>IFERROR(__xludf.DUMMYFUNCTION("""COMPUTED_VALUE"""),180.54)</f>
        <v>180.54</v>
      </c>
      <c r="C999" s="3">
        <v>198.985293486141</v>
      </c>
    </row>
    <row r="1000">
      <c r="A1000" s="1">
        <f>IFERROR(__xludf.DUMMYFUNCTION("""COMPUTED_VALUE"""),45029.66666666667)</f>
        <v>45029.66667</v>
      </c>
      <c r="B1000" s="2">
        <f>IFERROR(__xludf.DUMMYFUNCTION("""COMPUTED_VALUE"""),185.9)</f>
        <v>185.9</v>
      </c>
      <c r="C1000" s="3">
        <v>197.6843747937</v>
      </c>
    </row>
    <row r="1001">
      <c r="A1001" s="1">
        <f>IFERROR(__xludf.DUMMYFUNCTION("""COMPUTED_VALUE"""),45030.66666666667)</f>
        <v>45030.66667</v>
      </c>
      <c r="B1001" s="2">
        <f>IFERROR(__xludf.DUMMYFUNCTION("""COMPUTED_VALUE"""),185.0)</f>
        <v>185</v>
      </c>
      <c r="C1001" s="3">
        <v>196.731292214639</v>
      </c>
    </row>
    <row r="1002">
      <c r="A1002" s="1">
        <f>IFERROR(__xludf.DUMMYFUNCTION("""COMPUTED_VALUE"""),45033.66666666667)</f>
        <v>45033.66667</v>
      </c>
      <c r="B1002" s="2">
        <f>IFERROR(__xludf.DUMMYFUNCTION("""COMPUTED_VALUE"""),187.04)</f>
        <v>187.04</v>
      </c>
      <c r="C1002" s="3">
        <v>197.559745711641</v>
      </c>
    </row>
    <row r="1003">
      <c r="A1003" s="1">
        <f>IFERROR(__xludf.DUMMYFUNCTION("""COMPUTED_VALUE"""),45034.66666666667)</f>
        <v>45034.66667</v>
      </c>
      <c r="B1003" s="2">
        <f>IFERROR(__xludf.DUMMYFUNCTION("""COMPUTED_VALUE"""),184.31)</f>
        <v>184.31</v>
      </c>
      <c r="C1003" s="3">
        <v>196.374780238558</v>
      </c>
    </row>
    <row r="1004">
      <c r="A1004" s="1">
        <f>IFERROR(__xludf.DUMMYFUNCTION("""COMPUTED_VALUE"""),45035.66666666667)</f>
        <v>45035.66667</v>
      </c>
      <c r="B1004" s="2">
        <f>IFERROR(__xludf.DUMMYFUNCTION("""COMPUTED_VALUE"""),180.59)</f>
        <v>180.59</v>
      </c>
      <c r="C1004" s="3">
        <v>196.512283771725</v>
      </c>
    </row>
    <row r="1005">
      <c r="A1005" s="1">
        <f>IFERROR(__xludf.DUMMYFUNCTION("""COMPUTED_VALUE"""),45036.66666666667)</f>
        <v>45036.66667</v>
      </c>
      <c r="B1005" s="2">
        <f>IFERROR(__xludf.DUMMYFUNCTION("""COMPUTED_VALUE"""),162.99)</f>
        <v>162.99</v>
      </c>
      <c r="C1005" s="3">
        <v>195.495639453923</v>
      </c>
    </row>
    <row r="1006">
      <c r="A1006" s="1">
        <f>IFERROR(__xludf.DUMMYFUNCTION("""COMPUTED_VALUE"""),45037.66666666667)</f>
        <v>45037.66667</v>
      </c>
      <c r="B1006" s="2">
        <f>IFERROR(__xludf.DUMMYFUNCTION("""COMPUTED_VALUE"""),165.08)</f>
        <v>165.08</v>
      </c>
      <c r="C1006" s="3">
        <v>194.832244694538</v>
      </c>
    </row>
    <row r="1007">
      <c r="A1007" s="1">
        <f>IFERROR(__xludf.DUMMYFUNCTION("""COMPUTED_VALUE"""),45040.66666666667)</f>
        <v>45040.66667</v>
      </c>
      <c r="B1007" s="2">
        <f>IFERROR(__xludf.DUMMYFUNCTION("""COMPUTED_VALUE"""),162.55)</f>
        <v>162.55</v>
      </c>
      <c r="C1007" s="3">
        <v>196.404804269287</v>
      </c>
    </row>
    <row r="1008">
      <c r="A1008" s="1">
        <f>IFERROR(__xludf.DUMMYFUNCTION("""COMPUTED_VALUE"""),45041.66666666667)</f>
        <v>45041.66667</v>
      </c>
      <c r="B1008" s="2">
        <f>IFERROR(__xludf.DUMMYFUNCTION("""COMPUTED_VALUE"""),160.67)</f>
        <v>160.67</v>
      </c>
      <c r="C1008" s="3">
        <v>195.380779935912</v>
      </c>
    </row>
    <row r="1009">
      <c r="A1009" s="1">
        <f>IFERROR(__xludf.DUMMYFUNCTION("""COMPUTED_VALUE"""),45042.66666666667)</f>
        <v>45042.66667</v>
      </c>
      <c r="B1009" s="2">
        <f>IFERROR(__xludf.DUMMYFUNCTION("""COMPUTED_VALUE"""),153.75)</f>
        <v>153.75</v>
      </c>
      <c r="C1009" s="3">
        <v>195.617955396023</v>
      </c>
    </row>
    <row r="1010">
      <c r="A1010" s="1">
        <f>IFERROR(__xludf.DUMMYFUNCTION("""COMPUTED_VALUE"""),45043.66666666667)</f>
        <v>45043.66667</v>
      </c>
      <c r="B1010" s="2">
        <f>IFERROR(__xludf.DUMMYFUNCTION("""COMPUTED_VALUE"""),160.19)</f>
        <v>160.19</v>
      </c>
      <c r="C1010" s="3">
        <v>194.535994804597</v>
      </c>
    </row>
    <row r="1011">
      <c r="A1011" s="1">
        <f>IFERROR(__xludf.DUMMYFUNCTION("""COMPUTED_VALUE"""),45044.66666666667)</f>
        <v>45044.66667</v>
      </c>
      <c r="B1011" s="2">
        <f>IFERROR(__xludf.DUMMYFUNCTION("""COMPUTED_VALUE"""),164.31)</f>
        <v>164.31</v>
      </c>
      <c r="C1011" s="3">
        <v>193.734921541064</v>
      </c>
    </row>
    <row r="1012">
      <c r="A1012" s="1">
        <f>IFERROR(__xludf.DUMMYFUNCTION("""COMPUTED_VALUE"""),45047.66666666667)</f>
        <v>45047.66667</v>
      </c>
      <c r="B1012" s="2">
        <f>IFERROR(__xludf.DUMMYFUNCTION("""COMPUTED_VALUE"""),161.83)</f>
        <v>161.83</v>
      </c>
      <c r="C1012" s="3">
        <v>194.4620632219</v>
      </c>
    </row>
    <row r="1013">
      <c r="A1013" s="1">
        <f>IFERROR(__xludf.DUMMYFUNCTION("""COMPUTED_VALUE"""),45048.66666666667)</f>
        <v>45048.66667</v>
      </c>
      <c r="B1013" s="2">
        <f>IFERROR(__xludf.DUMMYFUNCTION("""COMPUTED_VALUE"""),160.31)</f>
        <v>160.31</v>
      </c>
      <c r="C1013" s="3">
        <v>193.026859178689</v>
      </c>
    </row>
    <row r="1014">
      <c r="A1014" s="1">
        <f>IFERROR(__xludf.DUMMYFUNCTION("""COMPUTED_VALUE"""),45049.66666666667)</f>
        <v>45049.66667</v>
      </c>
      <c r="B1014" s="2">
        <f>IFERROR(__xludf.DUMMYFUNCTION("""COMPUTED_VALUE"""),160.61)</f>
        <v>160.61</v>
      </c>
      <c r="C1014" s="3">
        <v>192.802069105959</v>
      </c>
    </row>
    <row r="1015">
      <c r="A1015" s="1">
        <f>IFERROR(__xludf.DUMMYFUNCTION("""COMPUTED_VALUE"""),45050.66666666667)</f>
        <v>45050.66667</v>
      </c>
      <c r="B1015" s="2">
        <f>IFERROR(__xludf.DUMMYFUNCTION("""COMPUTED_VALUE"""),161.2)</f>
        <v>161.2</v>
      </c>
      <c r="C1015" s="3">
        <v>191.31583878054</v>
      </c>
    </row>
    <row r="1016">
      <c r="A1016" s="1">
        <f>IFERROR(__xludf.DUMMYFUNCTION("""COMPUTED_VALUE"""),45051.66666666667)</f>
        <v>45051.66667</v>
      </c>
      <c r="B1016" s="2">
        <f>IFERROR(__xludf.DUMMYFUNCTION("""COMPUTED_VALUE"""),170.06)</f>
        <v>170.06</v>
      </c>
      <c r="C1016" s="3">
        <v>190.084848937292</v>
      </c>
    </row>
    <row r="1017">
      <c r="A1017" s="1">
        <f>IFERROR(__xludf.DUMMYFUNCTION("""COMPUTED_VALUE"""),45054.66666666667)</f>
        <v>45054.66667</v>
      </c>
      <c r="B1017" s="2">
        <f>IFERROR(__xludf.DUMMYFUNCTION("""COMPUTED_VALUE"""),171.79)</f>
        <v>171.79</v>
      </c>
      <c r="C1017" s="3">
        <v>189.51960674132</v>
      </c>
    </row>
    <row r="1018">
      <c r="A1018" s="1">
        <f>IFERROR(__xludf.DUMMYFUNCTION("""COMPUTED_VALUE"""),45055.66666666667)</f>
        <v>45055.66667</v>
      </c>
      <c r="B1018" s="2">
        <f>IFERROR(__xludf.DUMMYFUNCTION("""COMPUTED_VALUE"""),169.15)</f>
        <v>169.15</v>
      </c>
      <c r="C1018" s="3">
        <v>187.705402216355</v>
      </c>
    </row>
    <row r="1019">
      <c r="A1019" s="1">
        <f>IFERROR(__xludf.DUMMYFUNCTION("""COMPUTED_VALUE"""),45056.66666666667)</f>
        <v>45056.66667</v>
      </c>
      <c r="B1019" s="2">
        <f>IFERROR(__xludf.DUMMYFUNCTION("""COMPUTED_VALUE"""),168.54)</f>
        <v>168.54</v>
      </c>
      <c r="C1019" s="3">
        <v>187.153243426346</v>
      </c>
    </row>
    <row r="1020">
      <c r="A1020" s="1">
        <f>IFERROR(__xludf.DUMMYFUNCTION("""COMPUTED_VALUE"""),45057.66666666667)</f>
        <v>45057.66667</v>
      </c>
      <c r="B1020" s="2">
        <f>IFERROR(__xludf.DUMMYFUNCTION("""COMPUTED_VALUE"""),172.08)</f>
        <v>172.08</v>
      </c>
      <c r="C1020" s="3">
        <v>185.405342032207</v>
      </c>
    </row>
    <row r="1021">
      <c r="A1021" s="1">
        <f>IFERROR(__xludf.DUMMYFUNCTION("""COMPUTED_VALUE"""),45058.66666666667)</f>
        <v>45058.66667</v>
      </c>
      <c r="B1021" s="2">
        <f>IFERROR(__xludf.DUMMYFUNCTION("""COMPUTED_VALUE"""),167.98)</f>
        <v>167.98</v>
      </c>
      <c r="C1021" s="3">
        <v>183.990902266432</v>
      </c>
    </row>
    <row r="1022">
      <c r="A1022" s="1">
        <f>IFERROR(__xludf.DUMMYFUNCTION("""COMPUTED_VALUE"""),45061.66666666667)</f>
        <v>45061.66667</v>
      </c>
      <c r="B1022" s="2">
        <f>IFERROR(__xludf.DUMMYFUNCTION("""COMPUTED_VALUE"""),166.35)</f>
        <v>166.35</v>
      </c>
      <c r="C1022" s="3">
        <v>183.439002209393</v>
      </c>
    </row>
    <row r="1023">
      <c r="A1023" s="1">
        <f>IFERROR(__xludf.DUMMYFUNCTION("""COMPUTED_VALUE"""),45062.66666666667)</f>
        <v>45062.66667</v>
      </c>
      <c r="B1023" s="2">
        <f>IFERROR(__xludf.DUMMYFUNCTION("""COMPUTED_VALUE"""),166.52)</f>
        <v>166.52</v>
      </c>
      <c r="C1023" s="3">
        <v>181.836325906672</v>
      </c>
    </row>
    <row r="1024">
      <c r="A1024" s="1">
        <f>IFERROR(__xludf.DUMMYFUNCTION("""COMPUTED_VALUE"""),45063.66666666667)</f>
        <v>45063.66667</v>
      </c>
      <c r="B1024" s="2">
        <f>IFERROR(__xludf.DUMMYFUNCTION("""COMPUTED_VALUE"""),173.86)</f>
        <v>173.86</v>
      </c>
      <c r="C1024" s="3">
        <v>181.602045659606</v>
      </c>
    </row>
    <row r="1025">
      <c r="A1025" s="1">
        <f>IFERROR(__xludf.DUMMYFUNCTION("""COMPUTED_VALUE"""),45064.66666666667)</f>
        <v>45064.66667</v>
      </c>
      <c r="B1025" s="2">
        <f>IFERROR(__xludf.DUMMYFUNCTION("""COMPUTED_VALUE"""),176.89)</f>
        <v>176.89</v>
      </c>
      <c r="C1025" s="3">
        <v>180.275826687569</v>
      </c>
    </row>
    <row r="1026">
      <c r="A1026" s="1">
        <f>IFERROR(__xludf.DUMMYFUNCTION("""COMPUTED_VALUE"""),45065.66666666667)</f>
        <v>45065.66667</v>
      </c>
      <c r="B1026" s="2">
        <f>IFERROR(__xludf.DUMMYFUNCTION("""COMPUTED_VALUE"""),180.14)</f>
        <v>180.14</v>
      </c>
      <c r="C1026" s="3">
        <v>179.381550538142</v>
      </c>
    </row>
    <row r="1027">
      <c r="A1027" s="1">
        <f>IFERROR(__xludf.DUMMYFUNCTION("""COMPUTED_VALUE"""),45068.66666666667)</f>
        <v>45068.66667</v>
      </c>
      <c r="B1027" s="2">
        <f>IFERROR(__xludf.DUMMYFUNCTION("""COMPUTED_VALUE"""),188.87)</f>
        <v>188.87</v>
      </c>
      <c r="C1027" s="3">
        <v>180.889633120405</v>
      </c>
    </row>
    <row r="1028">
      <c r="A1028" s="1">
        <f>IFERROR(__xludf.DUMMYFUNCTION("""COMPUTED_VALUE"""),45069.66666666667)</f>
        <v>45069.66667</v>
      </c>
      <c r="B1028" s="2">
        <f>IFERROR(__xludf.DUMMYFUNCTION("""COMPUTED_VALUE"""),185.77)</f>
        <v>185.77</v>
      </c>
      <c r="C1028" s="3">
        <v>180.098754088778</v>
      </c>
    </row>
    <row r="1029">
      <c r="A1029" s="1">
        <f>IFERROR(__xludf.DUMMYFUNCTION("""COMPUTED_VALUE"""),45070.66666666667)</f>
        <v>45070.66667</v>
      </c>
      <c r="B1029" s="2">
        <f>IFERROR(__xludf.DUMMYFUNCTION("""COMPUTED_VALUE"""),182.9)</f>
        <v>182.9</v>
      </c>
      <c r="C1029" s="3">
        <v>180.713908946438</v>
      </c>
    </row>
    <row r="1030">
      <c r="A1030" s="1">
        <f>IFERROR(__xludf.DUMMYFUNCTION("""COMPUTED_VALUE"""),45071.66666666667)</f>
        <v>45071.66667</v>
      </c>
      <c r="B1030" s="2">
        <f>IFERROR(__xludf.DUMMYFUNCTION("""COMPUTED_VALUE"""),184.47)</f>
        <v>184.47</v>
      </c>
      <c r="C1030" s="3">
        <v>180.258106524918</v>
      </c>
    </row>
    <row r="1031">
      <c r="A1031" s="1">
        <f>IFERROR(__xludf.DUMMYFUNCTION("""COMPUTED_VALUE"""),45072.66666666667)</f>
        <v>45072.66667</v>
      </c>
      <c r="B1031" s="2">
        <f>IFERROR(__xludf.DUMMYFUNCTION("""COMPUTED_VALUE"""),193.17)</f>
        <v>193.17</v>
      </c>
      <c r="C1031" s="3">
        <v>180.238067412484</v>
      </c>
    </row>
    <row r="1032">
      <c r="A1032" s="1">
        <f>IFERROR(__xludf.DUMMYFUNCTION("""COMPUTED_VALUE"""),45076.66666666667)</f>
        <v>45076.66667</v>
      </c>
      <c r="B1032" s="2">
        <f>IFERROR(__xludf.DUMMYFUNCTION("""COMPUTED_VALUE"""),201.16)</f>
        <v>201.16</v>
      </c>
      <c r="C1032" s="3">
        <v>184.155596111023</v>
      </c>
    </row>
    <row r="1033">
      <c r="A1033" s="1">
        <f>IFERROR(__xludf.DUMMYFUNCTION("""COMPUTED_VALUE"""),45077.66666666667)</f>
        <v>45077.66667</v>
      </c>
      <c r="B1033" s="2">
        <f>IFERROR(__xludf.DUMMYFUNCTION("""COMPUTED_VALUE"""),203.93)</f>
        <v>203.93</v>
      </c>
      <c r="C1033" s="3">
        <v>185.421290941339</v>
      </c>
    </row>
    <row r="1034">
      <c r="A1034" s="1">
        <f>IFERROR(__xludf.DUMMYFUNCTION("""COMPUTED_VALUE"""),45078.66666666667)</f>
        <v>45078.66667</v>
      </c>
      <c r="B1034" s="2">
        <f>IFERROR(__xludf.DUMMYFUNCTION("""COMPUTED_VALUE"""),207.52)</f>
        <v>207.52</v>
      </c>
      <c r="C1034" s="3">
        <v>185.531608716649</v>
      </c>
    </row>
    <row r="1035">
      <c r="A1035" s="1">
        <f>IFERROR(__xludf.DUMMYFUNCTION("""COMPUTED_VALUE"""),45079.66666666667)</f>
        <v>45079.66667</v>
      </c>
      <c r="B1035" s="2">
        <f>IFERROR(__xludf.DUMMYFUNCTION("""COMPUTED_VALUE"""),213.97)</f>
        <v>213.97</v>
      </c>
      <c r="C1035" s="3">
        <v>185.984654808769</v>
      </c>
    </row>
    <row r="1036">
      <c r="A1036" s="1">
        <f>IFERROR(__xludf.DUMMYFUNCTION("""COMPUTED_VALUE"""),45082.66666666667)</f>
        <v>45082.66667</v>
      </c>
      <c r="B1036" s="2">
        <f>IFERROR(__xludf.DUMMYFUNCTION("""COMPUTED_VALUE"""),217.61)</f>
        <v>217.61</v>
      </c>
      <c r="C1036" s="3">
        <v>190.781814518653</v>
      </c>
    </row>
    <row r="1037">
      <c r="A1037" s="1">
        <f>IFERROR(__xludf.DUMMYFUNCTION("""COMPUTED_VALUE"""),45083.66666666667)</f>
        <v>45083.66667</v>
      </c>
      <c r="B1037" s="2">
        <f>IFERROR(__xludf.DUMMYFUNCTION("""COMPUTED_VALUE"""),221.31)</f>
        <v>221.31</v>
      </c>
      <c r="C1037" s="3">
        <v>190.780911290676</v>
      </c>
    </row>
    <row r="1038">
      <c r="A1038" s="1">
        <f>IFERROR(__xludf.DUMMYFUNCTION("""COMPUTED_VALUE"""),45084.66666666667)</f>
        <v>45084.66667</v>
      </c>
      <c r="B1038" s="2">
        <f>IFERROR(__xludf.DUMMYFUNCTION("""COMPUTED_VALUE"""),224.57)</f>
        <v>224.57</v>
      </c>
      <c r="C1038" s="3">
        <v>192.015084879979</v>
      </c>
    </row>
    <row r="1039">
      <c r="A1039" s="1">
        <f>IFERROR(__xludf.DUMMYFUNCTION("""COMPUTED_VALUE"""),45085.66666666667)</f>
        <v>45085.66667</v>
      </c>
      <c r="B1039" s="2">
        <f>IFERROR(__xludf.DUMMYFUNCTION("""COMPUTED_VALUE"""),234.86)</f>
        <v>234.86</v>
      </c>
      <c r="C1039" s="3">
        <v>192.003161392754</v>
      </c>
    </row>
    <row r="1040">
      <c r="A1040" s="1">
        <f>IFERROR(__xludf.DUMMYFUNCTION("""COMPUTED_VALUE"""),45086.66666666667)</f>
        <v>45086.66667</v>
      </c>
      <c r="B1040" s="2">
        <f>IFERROR(__xludf.DUMMYFUNCTION("""COMPUTED_VALUE"""),244.4)</f>
        <v>244.4</v>
      </c>
      <c r="C1040" s="3">
        <v>192.252106958206</v>
      </c>
    </row>
    <row r="1041">
      <c r="A1041" s="1">
        <f>IFERROR(__xludf.DUMMYFUNCTION("""COMPUTED_VALUE"""),45089.66666666667)</f>
        <v>45089.66667</v>
      </c>
      <c r="B1041" s="2">
        <f>IFERROR(__xludf.DUMMYFUNCTION("""COMPUTED_VALUE"""),249.83)</f>
        <v>249.83</v>
      </c>
      <c r="C1041" s="3">
        <v>196.060252152016</v>
      </c>
    </row>
    <row r="1042">
      <c r="A1042" s="1">
        <f>IFERROR(__xludf.DUMMYFUNCTION("""COMPUTED_VALUE"""),45090.66666666667)</f>
        <v>45090.66667</v>
      </c>
      <c r="B1042" s="2">
        <f>IFERROR(__xludf.DUMMYFUNCTION("""COMPUTED_VALUE"""),258.71)</f>
        <v>258.71</v>
      </c>
      <c r="C1042" s="3">
        <v>195.64834275183</v>
      </c>
    </row>
    <row r="1043">
      <c r="A1043" s="1">
        <f>IFERROR(__xludf.DUMMYFUNCTION("""COMPUTED_VALUE"""),45091.66666666667)</f>
        <v>45091.66667</v>
      </c>
      <c r="B1043" s="2">
        <f>IFERROR(__xludf.DUMMYFUNCTION("""COMPUTED_VALUE"""),256.79)</f>
        <v>256.79</v>
      </c>
      <c r="C1043" s="3">
        <v>196.454614672169</v>
      </c>
    </row>
    <row r="1044">
      <c r="A1044" s="1">
        <f>IFERROR(__xludf.DUMMYFUNCTION("""COMPUTED_VALUE"""),45092.66666666667)</f>
        <v>45092.66667</v>
      </c>
      <c r="B1044" s="2">
        <f>IFERROR(__xludf.DUMMYFUNCTION("""COMPUTED_VALUE"""),255.9)</f>
        <v>255.9</v>
      </c>
      <c r="C1044" s="3">
        <v>196.012280369102</v>
      </c>
    </row>
    <row r="1045">
      <c r="A1045" s="1">
        <f>IFERROR(__xludf.DUMMYFUNCTION("""COMPUTED_VALUE"""),45093.66666666667)</f>
        <v>45093.66667</v>
      </c>
      <c r="B1045" s="2">
        <f>IFERROR(__xludf.DUMMYFUNCTION("""COMPUTED_VALUE"""),260.54)</f>
        <v>260.54</v>
      </c>
      <c r="C1045" s="3">
        <v>195.84220144856</v>
      </c>
    </row>
    <row r="1046">
      <c r="A1046" s="1">
        <f>IFERROR(__xludf.DUMMYFUNCTION("""COMPUTED_VALUE"""),45097.66666666667)</f>
        <v>45097.66667</v>
      </c>
      <c r="B1046" s="2">
        <f>IFERROR(__xludf.DUMMYFUNCTION("""COMPUTED_VALUE"""),274.45)</f>
        <v>274.45</v>
      </c>
      <c r="C1046" s="3">
        <v>197.91640238606</v>
      </c>
    </row>
    <row r="1047">
      <c r="A1047" s="1">
        <f>IFERROR(__xludf.DUMMYFUNCTION("""COMPUTED_VALUE"""),45098.66666666667)</f>
        <v>45098.66667</v>
      </c>
      <c r="B1047" s="2">
        <f>IFERROR(__xludf.DUMMYFUNCTION("""COMPUTED_VALUE"""),259.46)</f>
        <v>259.46</v>
      </c>
      <c r="C1047" s="3">
        <v>198.527028493671</v>
      </c>
    </row>
    <row r="1048">
      <c r="A1048" s="1">
        <f>IFERROR(__xludf.DUMMYFUNCTION("""COMPUTED_VALUE"""),45099.66666666667)</f>
        <v>45099.66667</v>
      </c>
      <c r="B1048" s="2">
        <f>IFERROR(__xludf.DUMMYFUNCTION("""COMPUTED_VALUE"""),264.61)</f>
        <v>264.61</v>
      </c>
      <c r="C1048" s="3">
        <v>197.954780489445</v>
      </c>
    </row>
    <row r="1049">
      <c r="A1049" s="1">
        <f>IFERROR(__xludf.DUMMYFUNCTION("""COMPUTED_VALUE"""),45100.66666666667)</f>
        <v>45100.66667</v>
      </c>
      <c r="B1049" s="2">
        <f>IFERROR(__xludf.DUMMYFUNCTION("""COMPUTED_VALUE"""),256.6)</f>
        <v>256.6</v>
      </c>
      <c r="C1049" s="3">
        <v>197.722656241088</v>
      </c>
    </row>
    <row r="1050">
      <c r="A1050" s="1">
        <f>IFERROR(__xludf.DUMMYFUNCTION("""COMPUTED_VALUE"""),45103.66666666667)</f>
        <v>45103.66667</v>
      </c>
      <c r="B1050" s="2">
        <f>IFERROR(__xludf.DUMMYFUNCTION("""COMPUTED_VALUE"""),241.05)</f>
        <v>241.05</v>
      </c>
      <c r="C1050" s="3">
        <v>200.675530853988</v>
      </c>
    </row>
    <row r="1051">
      <c r="A1051" s="1">
        <f>IFERROR(__xludf.DUMMYFUNCTION("""COMPUTED_VALUE"""),45104.66666666667)</f>
        <v>45104.66667</v>
      </c>
      <c r="B1051" s="2">
        <f>IFERROR(__xludf.DUMMYFUNCTION("""COMPUTED_VALUE"""),250.21)</f>
        <v>250.21</v>
      </c>
      <c r="C1051" s="3">
        <v>200.194464023882</v>
      </c>
    </row>
    <row r="1052">
      <c r="A1052" s="1">
        <f>IFERROR(__xludf.DUMMYFUNCTION("""COMPUTED_VALUE"""),45105.66666666667)</f>
        <v>45105.66667</v>
      </c>
      <c r="B1052" s="2">
        <f>IFERROR(__xludf.DUMMYFUNCTION("""COMPUTED_VALUE"""),256.24)</f>
        <v>256.24</v>
      </c>
      <c r="C1052" s="3">
        <v>201.040489831959</v>
      </c>
    </row>
    <row r="1053">
      <c r="A1053" s="1">
        <f>IFERROR(__xludf.DUMMYFUNCTION("""COMPUTED_VALUE"""),45106.66666666667)</f>
        <v>45106.66667</v>
      </c>
      <c r="B1053" s="2">
        <f>IFERROR(__xludf.DUMMYFUNCTION("""COMPUTED_VALUE"""),257.5)</f>
        <v>257.5</v>
      </c>
      <c r="C1053" s="3">
        <v>200.742106263827</v>
      </c>
    </row>
    <row r="1054">
      <c r="A1054" s="1">
        <f>IFERROR(__xludf.DUMMYFUNCTION("""COMPUTED_VALUE"""),45107.66666666667)</f>
        <v>45107.66667</v>
      </c>
      <c r="B1054" s="2">
        <f>IFERROR(__xludf.DUMMYFUNCTION("""COMPUTED_VALUE"""),261.77)</f>
        <v>261.77</v>
      </c>
      <c r="C1054" s="3">
        <v>200.812223049952</v>
      </c>
    </row>
    <row r="1055">
      <c r="A1055" s="1">
        <f>IFERROR(__xludf.DUMMYFUNCTION("""COMPUTED_VALUE"""),45110.54513888889)</f>
        <v>45110.54514</v>
      </c>
      <c r="B1055" s="2">
        <f>IFERROR(__xludf.DUMMYFUNCTION("""COMPUTED_VALUE"""),279.82)</f>
        <v>279.82</v>
      </c>
      <c r="C1055" s="3">
        <v>204.732746773906</v>
      </c>
    </row>
    <row r="1056">
      <c r="A1056" s="1">
        <f>IFERROR(__xludf.DUMMYFUNCTION("""COMPUTED_VALUE"""),45112.66666666667)</f>
        <v>45112.66667</v>
      </c>
      <c r="B1056" s="2">
        <f>IFERROR(__xludf.DUMMYFUNCTION("""COMPUTED_VALUE"""),282.48)</f>
        <v>282.48</v>
      </c>
      <c r="C1056" s="3">
        <v>205.684045855615</v>
      </c>
    </row>
    <row r="1057">
      <c r="A1057" s="1">
        <f>IFERROR(__xludf.DUMMYFUNCTION("""COMPUTED_VALUE"""),45113.66666666667)</f>
        <v>45113.66667</v>
      </c>
      <c r="B1057" s="2">
        <f>IFERROR(__xludf.DUMMYFUNCTION("""COMPUTED_VALUE"""),276.54)</f>
        <v>276.54</v>
      </c>
      <c r="C1057" s="3">
        <v>205.631070419343</v>
      </c>
    </row>
    <row r="1058">
      <c r="A1058" s="1">
        <f>IFERROR(__xludf.DUMMYFUNCTION("""COMPUTED_VALUE"""),45114.66666666667)</f>
        <v>45114.66667</v>
      </c>
      <c r="B1058" s="2">
        <f>IFERROR(__xludf.DUMMYFUNCTION("""COMPUTED_VALUE"""),274.43)</f>
        <v>274.43</v>
      </c>
      <c r="C1058" s="3">
        <v>205.903679953651</v>
      </c>
    </row>
    <row r="1059">
      <c r="A1059" s="1">
        <f>IFERROR(__xludf.DUMMYFUNCTION("""COMPUTED_VALUE"""),45117.66666666667)</f>
        <v>45117.66667</v>
      </c>
      <c r="B1059" s="2">
        <f>IFERROR(__xludf.DUMMYFUNCTION("""COMPUTED_VALUE"""),269.61)</f>
        <v>269.61</v>
      </c>
      <c r="C1059" s="3">
        <v>210.116504429628</v>
      </c>
    </row>
    <row r="1060">
      <c r="A1060" s="1">
        <f>IFERROR(__xludf.DUMMYFUNCTION("""COMPUTED_VALUE"""),45118.66666666667)</f>
        <v>45118.66667</v>
      </c>
      <c r="B1060" s="2">
        <f>IFERROR(__xludf.DUMMYFUNCTION("""COMPUTED_VALUE"""),269.79)</f>
        <v>269.79</v>
      </c>
      <c r="C1060" s="3">
        <v>209.922969784851</v>
      </c>
    </row>
    <row r="1061">
      <c r="A1061" s="1">
        <f>IFERROR(__xludf.DUMMYFUNCTION("""COMPUTED_VALUE"""),45119.66666666667)</f>
        <v>45119.66667</v>
      </c>
      <c r="B1061" s="2">
        <f>IFERROR(__xludf.DUMMYFUNCTION("""COMPUTED_VALUE"""),271.99)</f>
        <v>271.99</v>
      </c>
      <c r="C1061" s="3">
        <v>210.971824184892</v>
      </c>
    </row>
    <row r="1062">
      <c r="A1062" s="1">
        <f>IFERROR(__xludf.DUMMYFUNCTION("""COMPUTED_VALUE"""),45120.66666666667)</f>
        <v>45120.66667</v>
      </c>
      <c r="B1062" s="2">
        <f>IFERROR(__xludf.DUMMYFUNCTION("""COMPUTED_VALUE"""),277.9)</f>
        <v>277.9</v>
      </c>
      <c r="C1062" s="3">
        <v>210.784324236601</v>
      </c>
    </row>
    <row r="1063">
      <c r="A1063" s="1">
        <f>IFERROR(__xludf.DUMMYFUNCTION("""COMPUTED_VALUE"""),45121.66666666667)</f>
        <v>45121.66667</v>
      </c>
      <c r="B1063" s="2">
        <f>IFERROR(__xludf.DUMMYFUNCTION("""COMPUTED_VALUE"""),281.38)</f>
        <v>281.38</v>
      </c>
      <c r="C1063" s="3">
        <v>210.868958620777</v>
      </c>
    </row>
    <row r="1064">
      <c r="A1064" s="1">
        <f>IFERROR(__xludf.DUMMYFUNCTION("""COMPUTED_VALUE"""),45124.66666666667)</f>
        <v>45124.66667</v>
      </c>
      <c r="B1064" s="2">
        <f>IFERROR(__xludf.DUMMYFUNCTION("""COMPUTED_VALUE"""),290.38)</f>
        <v>290.38</v>
      </c>
      <c r="C1064" s="3">
        <v>214.253630178516</v>
      </c>
    </row>
    <row r="1065">
      <c r="A1065" s="1">
        <f>IFERROR(__xludf.DUMMYFUNCTION("""COMPUTED_VALUE"""),45125.66666666667)</f>
        <v>45125.66667</v>
      </c>
      <c r="B1065" s="2">
        <f>IFERROR(__xludf.DUMMYFUNCTION("""COMPUTED_VALUE"""),293.34)</f>
        <v>293.34</v>
      </c>
      <c r="C1065" s="3">
        <v>213.72016480725</v>
      </c>
    </row>
    <row r="1066">
      <c r="A1066" s="1">
        <f>IFERROR(__xludf.DUMMYFUNCTION("""COMPUTED_VALUE"""),45126.66666666667)</f>
        <v>45126.66667</v>
      </c>
      <c r="B1066" s="2">
        <f>IFERROR(__xludf.DUMMYFUNCTION("""COMPUTED_VALUE"""),291.26)</f>
        <v>291.26</v>
      </c>
      <c r="C1066" s="3">
        <v>214.41104548884</v>
      </c>
    </row>
    <row r="1067">
      <c r="A1067" s="1">
        <f>IFERROR(__xludf.DUMMYFUNCTION("""COMPUTED_VALUE"""),45127.66666666667)</f>
        <v>45127.66667</v>
      </c>
      <c r="B1067" s="2">
        <f>IFERROR(__xludf.DUMMYFUNCTION("""COMPUTED_VALUE"""),262.9)</f>
        <v>262.9</v>
      </c>
      <c r="C1067" s="3">
        <v>213.856368422468</v>
      </c>
    </row>
    <row r="1068">
      <c r="A1068" s="1">
        <f>IFERROR(__xludf.DUMMYFUNCTION("""COMPUTED_VALUE"""),45128.66666666667)</f>
        <v>45128.66667</v>
      </c>
      <c r="B1068" s="2">
        <f>IFERROR(__xludf.DUMMYFUNCTION("""COMPUTED_VALUE"""),260.02)</f>
        <v>260.02</v>
      </c>
      <c r="C1068" s="3">
        <v>213.573402366752</v>
      </c>
    </row>
    <row r="1069">
      <c r="A1069" s="1">
        <f>IFERROR(__xludf.DUMMYFUNCTION("""COMPUTED_VALUE"""),45131.66666666667)</f>
        <v>45131.66667</v>
      </c>
      <c r="B1069" s="2">
        <f>IFERROR(__xludf.DUMMYFUNCTION("""COMPUTED_VALUE"""),269.06)</f>
        <v>269.06</v>
      </c>
      <c r="C1069" s="3">
        <v>215.934073862077</v>
      </c>
    </row>
    <row r="1070">
      <c r="A1070" s="1">
        <f>IFERROR(__xludf.DUMMYFUNCTION("""COMPUTED_VALUE"""),45132.66666666667)</f>
        <v>45132.66667</v>
      </c>
      <c r="B1070" s="2">
        <f>IFERROR(__xludf.DUMMYFUNCTION("""COMPUTED_VALUE"""),265.28)</f>
        <v>265.28</v>
      </c>
      <c r="C1070" s="3">
        <v>215.108861326853</v>
      </c>
    </row>
    <row r="1071">
      <c r="A1071" s="1">
        <f>IFERROR(__xludf.DUMMYFUNCTION("""COMPUTED_VALUE"""),45133.66666666667)</f>
        <v>45133.66667</v>
      </c>
      <c r="B1071" s="2">
        <f>IFERROR(__xludf.DUMMYFUNCTION("""COMPUTED_VALUE"""),264.35)</f>
        <v>264.35</v>
      </c>
      <c r="C1071" s="3">
        <v>215.54187936125</v>
      </c>
    </row>
    <row r="1072">
      <c r="A1072" s="1">
        <f>IFERROR(__xludf.DUMMYFUNCTION("""COMPUTED_VALUE"""),45134.66666666667)</f>
        <v>45134.66667</v>
      </c>
      <c r="B1072" s="2">
        <f>IFERROR(__xludf.DUMMYFUNCTION("""COMPUTED_VALUE"""),255.71)</f>
        <v>255.71</v>
      </c>
      <c r="C1072" s="3">
        <v>214.766845957469</v>
      </c>
    </row>
    <row r="1073">
      <c r="A1073" s="1">
        <f>IFERROR(__xludf.DUMMYFUNCTION("""COMPUTED_VALUE"""),45135.66666666667)</f>
        <v>45135.66667</v>
      </c>
      <c r="B1073" s="2">
        <f>IFERROR(__xludf.DUMMYFUNCTION("""COMPUTED_VALUE"""),266.44)</f>
        <v>266.44</v>
      </c>
      <c r="C1073" s="3">
        <v>214.303317795132</v>
      </c>
    </row>
    <row r="1074">
      <c r="A1074" s="1">
        <f>IFERROR(__xludf.DUMMYFUNCTION("""COMPUTED_VALUE"""),45138.66666666667)</f>
        <v>45138.66667</v>
      </c>
      <c r="B1074" s="2">
        <f>IFERROR(__xludf.DUMMYFUNCTION("""COMPUTED_VALUE"""),267.43)</f>
        <v>267.43</v>
      </c>
      <c r="C1074" s="3">
        <v>216.363906135582</v>
      </c>
    </row>
    <row r="1075">
      <c r="A1075" s="1">
        <f>IFERROR(__xludf.DUMMYFUNCTION("""COMPUTED_VALUE"""),45139.66666666667)</f>
        <v>45139.66667</v>
      </c>
      <c r="B1075" s="2">
        <f>IFERROR(__xludf.DUMMYFUNCTION("""COMPUTED_VALUE"""),261.07)</f>
        <v>261.07</v>
      </c>
      <c r="C1075" s="3">
        <v>215.513881720973</v>
      </c>
    </row>
    <row r="1076">
      <c r="A1076" s="1">
        <f>IFERROR(__xludf.DUMMYFUNCTION("""COMPUTED_VALUE"""),45140.66666666667)</f>
        <v>45140.66667</v>
      </c>
      <c r="B1076" s="2">
        <f>IFERROR(__xludf.DUMMYFUNCTION("""COMPUTED_VALUE"""),254.11)</f>
        <v>254.11</v>
      </c>
      <c r="C1076" s="3">
        <v>215.954307401544</v>
      </c>
    </row>
    <row r="1077">
      <c r="A1077" s="1">
        <f>IFERROR(__xludf.DUMMYFUNCTION("""COMPUTED_VALUE"""),45141.66666666667)</f>
        <v>45141.66667</v>
      </c>
      <c r="B1077" s="2">
        <f>IFERROR(__xludf.DUMMYFUNCTION("""COMPUTED_VALUE"""),259.32)</f>
        <v>259.32</v>
      </c>
      <c r="C1077" s="3">
        <v>215.214372338646</v>
      </c>
    </row>
    <row r="1078">
      <c r="A1078" s="1">
        <f>IFERROR(__xludf.DUMMYFUNCTION("""COMPUTED_VALUE"""),45142.66666666667)</f>
        <v>45142.66667</v>
      </c>
      <c r="B1078" s="2">
        <f>IFERROR(__xludf.DUMMYFUNCTION("""COMPUTED_VALUE"""),253.86)</f>
        <v>253.86</v>
      </c>
      <c r="C1078" s="3">
        <v>214.808519822174</v>
      </c>
    </row>
    <row r="1079">
      <c r="A1079" s="1">
        <f>IFERROR(__xludf.DUMMYFUNCTION("""COMPUTED_VALUE"""),45145.66666666667)</f>
        <v>45145.66667</v>
      </c>
      <c r="B1079" s="2">
        <f>IFERROR(__xludf.DUMMYFUNCTION("""COMPUTED_VALUE"""),251.45)</f>
        <v>251.45</v>
      </c>
      <c r="C1079" s="3">
        <v>217.122438046122</v>
      </c>
    </row>
    <row r="1080">
      <c r="A1080" s="1">
        <f>IFERROR(__xludf.DUMMYFUNCTION("""COMPUTED_VALUE"""),45146.66666666667)</f>
        <v>45146.66667</v>
      </c>
      <c r="B1080" s="2">
        <f>IFERROR(__xludf.DUMMYFUNCTION("""COMPUTED_VALUE"""),249.7)</f>
        <v>249.7</v>
      </c>
      <c r="C1080" s="3">
        <v>216.36550201083</v>
      </c>
    </row>
    <row r="1081">
      <c r="A1081" s="1">
        <f>IFERROR(__xludf.DUMMYFUNCTION("""COMPUTED_VALUE"""),45147.66666666667)</f>
        <v>45147.66667</v>
      </c>
      <c r="B1081" s="2">
        <f>IFERROR(__xludf.DUMMYFUNCTION("""COMPUTED_VALUE"""),242.19)</f>
        <v>242.19</v>
      </c>
      <c r="C1081" s="3">
        <v>216.895175919784</v>
      </c>
    </row>
    <row r="1082">
      <c r="A1082" s="1">
        <f>IFERROR(__xludf.DUMMYFUNCTION("""COMPUTED_VALUE"""),45148.66666666667)</f>
        <v>45148.66667</v>
      </c>
      <c r="B1082" s="2">
        <f>IFERROR(__xludf.DUMMYFUNCTION("""COMPUTED_VALUE"""),245.34)</f>
        <v>245.34</v>
      </c>
      <c r="C1082" s="3">
        <v>216.236699570397</v>
      </c>
    </row>
    <row r="1083">
      <c r="A1083" s="1">
        <f>IFERROR(__xludf.DUMMYFUNCTION("""COMPUTED_VALUE"""),45149.66666666667)</f>
        <v>45149.66667</v>
      </c>
      <c r="B1083" s="2">
        <f>IFERROR(__xludf.DUMMYFUNCTION("""COMPUTED_VALUE"""),242.65)</f>
        <v>242.65</v>
      </c>
      <c r="C1083" s="3">
        <v>215.901420923244</v>
      </c>
    </row>
    <row r="1084">
      <c r="A1084" s="1">
        <f>IFERROR(__xludf.DUMMYFUNCTION("""COMPUTED_VALUE"""),45152.66666666667)</f>
        <v>45152.66667</v>
      </c>
      <c r="B1084" s="2">
        <f>IFERROR(__xludf.DUMMYFUNCTION("""COMPUTED_VALUE"""),239.76)</f>
        <v>239.76</v>
      </c>
      <c r="C1084" s="3">
        <v>218.345675397442</v>
      </c>
    </row>
    <row r="1085">
      <c r="A1085" s="1">
        <f>IFERROR(__xludf.DUMMYFUNCTION("""COMPUTED_VALUE"""),45153.66666666667)</f>
        <v>45153.66667</v>
      </c>
      <c r="B1085" s="2">
        <f>IFERROR(__xludf.DUMMYFUNCTION("""COMPUTED_VALUE"""),232.96)</f>
        <v>232.96</v>
      </c>
      <c r="C1085" s="3">
        <v>217.60495496174</v>
      </c>
    </row>
    <row r="1086">
      <c r="A1086" s="1">
        <f>IFERROR(__xludf.DUMMYFUNCTION("""COMPUTED_VALUE"""),45154.66666666667)</f>
        <v>45154.66667</v>
      </c>
      <c r="B1086" s="2">
        <f>IFERROR(__xludf.DUMMYFUNCTION("""COMPUTED_VALUE"""),225.6)</f>
        <v>225.6</v>
      </c>
      <c r="C1086" s="3">
        <v>218.139752616813</v>
      </c>
    </row>
    <row r="1087">
      <c r="A1087" s="1">
        <f>IFERROR(__xludf.DUMMYFUNCTION("""COMPUTED_VALUE"""),45155.66666666667)</f>
        <v>45155.66667</v>
      </c>
      <c r="B1087" s="2">
        <f>IFERROR(__xludf.DUMMYFUNCTION("""COMPUTED_VALUE"""),219.22)</f>
        <v>219.22</v>
      </c>
      <c r="C1087" s="3">
        <v>217.478212371149</v>
      </c>
    </row>
    <row r="1088">
      <c r="A1088" s="1">
        <f>IFERROR(__xludf.DUMMYFUNCTION("""COMPUTED_VALUE"""),45156.66666666667)</f>
        <v>45156.66667</v>
      </c>
      <c r="B1088" s="2">
        <f>IFERROR(__xludf.DUMMYFUNCTION("""COMPUTED_VALUE"""),215.49)</f>
        <v>215.49</v>
      </c>
      <c r="C1088" s="3">
        <v>217.135335838789</v>
      </c>
    </row>
    <row r="1089">
      <c r="A1089" s="1">
        <f>IFERROR(__xludf.DUMMYFUNCTION("""COMPUTED_VALUE"""),45159.66666666667)</f>
        <v>45159.66667</v>
      </c>
      <c r="B1089" s="2">
        <f>IFERROR(__xludf.DUMMYFUNCTION("""COMPUTED_VALUE"""),231.28)</f>
        <v>231.28</v>
      </c>
      <c r="C1089" s="3">
        <v>219.57355219869</v>
      </c>
    </row>
    <row r="1090">
      <c r="A1090" s="1">
        <f>IFERROR(__xludf.DUMMYFUNCTION("""COMPUTED_VALUE"""),45160.66666666667)</f>
        <v>45160.66667</v>
      </c>
      <c r="B1090" s="2">
        <f>IFERROR(__xludf.DUMMYFUNCTION("""COMPUTED_VALUE"""),233.19)</f>
        <v>233.19</v>
      </c>
      <c r="C1090" s="3">
        <v>218.852043129034</v>
      </c>
    </row>
    <row r="1091">
      <c r="A1091" s="1">
        <f>IFERROR(__xludf.DUMMYFUNCTION("""COMPUTED_VALUE"""),45161.66666666667)</f>
        <v>45161.66667</v>
      </c>
      <c r="B1091" s="2">
        <f>IFERROR(__xludf.DUMMYFUNCTION("""COMPUTED_VALUE"""),236.86)</f>
        <v>236.86</v>
      </c>
      <c r="C1091" s="3">
        <v>219.4241705493</v>
      </c>
    </row>
    <row r="1092">
      <c r="A1092" s="1">
        <f>IFERROR(__xludf.DUMMYFUNCTION("""COMPUTED_VALUE"""),45162.66666666667)</f>
        <v>45162.66667</v>
      </c>
      <c r="B1092" s="2">
        <f>IFERROR(__xludf.DUMMYFUNCTION("""COMPUTED_VALUE"""),230.04)</f>
        <v>230.04</v>
      </c>
      <c r="C1092" s="3">
        <v>218.821904091342</v>
      </c>
    </row>
    <row r="1093">
      <c r="A1093" s="1">
        <f>IFERROR(__xludf.DUMMYFUNCTION("""COMPUTED_VALUE"""),45163.66666666667)</f>
        <v>45163.66667</v>
      </c>
      <c r="B1093" s="2">
        <f>IFERROR(__xludf.DUMMYFUNCTION("""COMPUTED_VALUE"""),238.59)</f>
        <v>238.59</v>
      </c>
      <c r="C1093" s="3">
        <v>218.563308237863</v>
      </c>
    </row>
    <row r="1094">
      <c r="A1094" s="1">
        <f>IFERROR(__xludf.DUMMYFUNCTION("""COMPUTED_VALUE"""),45166.66666666667)</f>
        <v>45166.66667</v>
      </c>
      <c r="B1094" s="2">
        <f>IFERROR(__xludf.DUMMYFUNCTION("""COMPUTED_VALUE"""),238.82)</f>
        <v>238.82</v>
      </c>
      <c r="C1094" s="3">
        <v>221.419700732538</v>
      </c>
    </row>
    <row r="1095">
      <c r="A1095" s="1">
        <f>IFERROR(__xludf.DUMMYFUNCTION("""COMPUTED_VALUE"""),45167.66666666667)</f>
        <v>45167.66667</v>
      </c>
      <c r="B1095" s="2">
        <f>IFERROR(__xludf.DUMMYFUNCTION("""COMPUTED_VALUE"""),257.18)</f>
        <v>257.18</v>
      </c>
      <c r="C1095" s="3">
        <v>220.891695490227</v>
      </c>
    </row>
    <row r="1096">
      <c r="A1096" s="1">
        <f>IFERROR(__xludf.DUMMYFUNCTION("""COMPUTED_VALUE"""),45168.66666666667)</f>
        <v>45168.66667</v>
      </c>
      <c r="B1096" s="2">
        <f>IFERROR(__xludf.DUMMYFUNCTION("""COMPUTED_VALUE"""),256.9)</f>
        <v>256.9</v>
      </c>
      <c r="C1096" s="3">
        <v>221.680533902627</v>
      </c>
    </row>
    <row r="1097">
      <c r="A1097" s="1">
        <f>IFERROR(__xludf.DUMMYFUNCTION("""COMPUTED_VALUE"""),45169.66666666667)</f>
        <v>45169.66667</v>
      </c>
      <c r="B1097" s="2">
        <f>IFERROR(__xludf.DUMMYFUNCTION("""COMPUTED_VALUE"""),258.08)</f>
        <v>258.08</v>
      </c>
      <c r="C1097" s="3">
        <v>221.313817716285</v>
      </c>
    </row>
    <row r="1098">
      <c r="A1098" s="1">
        <f>IFERROR(__xludf.DUMMYFUNCTION("""COMPUTED_VALUE"""),45170.66666666667)</f>
        <v>45170.66667</v>
      </c>
      <c r="B1098" s="2">
        <f>IFERROR(__xludf.DUMMYFUNCTION("""COMPUTED_VALUE"""),245.01)</f>
        <v>245.01</v>
      </c>
      <c r="C1098" s="3">
        <v>221.30393139006</v>
      </c>
    </row>
    <row r="1099">
      <c r="A1099" s="1">
        <f>IFERROR(__xludf.DUMMYFUNCTION("""COMPUTED_VALUE"""),45174.66666666667)</f>
        <v>45174.66667</v>
      </c>
      <c r="B1099" s="2">
        <f>IFERROR(__xludf.DUMMYFUNCTION("""COMPUTED_VALUE"""),256.49)</f>
        <v>256.49</v>
      </c>
      <c r="C1099" s="3">
        <v>224.606718783293</v>
      </c>
    </row>
    <row r="1100">
      <c r="A1100" s="1">
        <f>IFERROR(__xludf.DUMMYFUNCTION("""COMPUTED_VALUE"""),45175.66666666667)</f>
        <v>45175.66667</v>
      </c>
      <c r="B1100" s="2">
        <f>IFERROR(__xludf.DUMMYFUNCTION("""COMPUTED_VALUE"""),251.92)</f>
        <v>251.92</v>
      </c>
      <c r="C1100" s="3">
        <v>225.58924017701</v>
      </c>
    </row>
    <row r="1101">
      <c r="A1101" s="1">
        <f>IFERROR(__xludf.DUMMYFUNCTION("""COMPUTED_VALUE"""),45176.66666666667)</f>
        <v>45176.66667</v>
      </c>
      <c r="B1101" s="2">
        <f>IFERROR(__xludf.DUMMYFUNCTION("""COMPUTED_VALUE"""),251.49)</f>
        <v>251.49</v>
      </c>
      <c r="C1101" s="3">
        <v>225.377027981538</v>
      </c>
    </row>
    <row r="1102">
      <c r="A1102" s="1">
        <f>IFERROR(__xludf.DUMMYFUNCTION("""COMPUTED_VALUE"""),45177.66666666667)</f>
        <v>45177.66667</v>
      </c>
      <c r="B1102" s="2">
        <f>IFERROR(__xludf.DUMMYFUNCTION("""COMPUTED_VALUE"""),248.5)</f>
        <v>248.5</v>
      </c>
      <c r="C1102" s="3">
        <v>225.473041389105</v>
      </c>
    </row>
    <row r="1103">
      <c r="A1103" s="1">
        <f>IFERROR(__xludf.DUMMYFUNCTION("""COMPUTED_VALUE"""),45180.66666666667)</f>
        <v>45180.66667</v>
      </c>
      <c r="B1103" s="2">
        <f>IFERROR(__xludf.DUMMYFUNCTION("""COMPUTED_VALUE"""),273.58)</f>
        <v>273.58</v>
      </c>
      <c r="C1103" s="3">
        <v>229.023497279103</v>
      </c>
    </row>
    <row r="1104">
      <c r="A1104" s="1">
        <f>IFERROR(__xludf.DUMMYFUNCTION("""COMPUTED_VALUE"""),45181.66666666667)</f>
        <v>45181.66667</v>
      </c>
      <c r="B1104" s="2">
        <f>IFERROR(__xludf.DUMMYFUNCTION("""COMPUTED_VALUE"""),267.48)</f>
        <v>267.48</v>
      </c>
      <c r="C1104" s="3">
        <v>228.552649679243</v>
      </c>
    </row>
    <row r="1105">
      <c r="A1105" s="1">
        <f>IFERROR(__xludf.DUMMYFUNCTION("""COMPUTED_VALUE"""),45182.66666666667)</f>
        <v>45182.66667</v>
      </c>
      <c r="B1105" s="2">
        <f>IFERROR(__xludf.DUMMYFUNCTION("""COMPUTED_VALUE"""),271.3)</f>
        <v>271.3</v>
      </c>
      <c r="C1105" s="3">
        <v>229.288581847278</v>
      </c>
    </row>
    <row r="1106">
      <c r="A1106" s="1">
        <f>IFERROR(__xludf.DUMMYFUNCTION("""COMPUTED_VALUE"""),45183.66666666667)</f>
        <v>45183.66667</v>
      </c>
      <c r="B1106" s="2">
        <f>IFERROR(__xludf.DUMMYFUNCTION("""COMPUTED_VALUE"""),276.04)</f>
        <v>276.04</v>
      </c>
      <c r="C1106" s="3">
        <v>228.747683529551</v>
      </c>
    </row>
    <row r="1107">
      <c r="A1107" s="1">
        <f>IFERROR(__xludf.DUMMYFUNCTION("""COMPUTED_VALUE"""),45184.66666666667)</f>
        <v>45184.66667</v>
      </c>
      <c r="B1107" s="2">
        <f>IFERROR(__xludf.DUMMYFUNCTION("""COMPUTED_VALUE"""),274.39)</f>
        <v>274.39</v>
      </c>
      <c r="C1107" s="3">
        <v>228.433500017776</v>
      </c>
    </row>
    <row r="1108">
      <c r="A1108" s="1">
        <f>IFERROR(__xludf.DUMMYFUNCTION("""COMPUTED_VALUE"""),45187.66666666667)</f>
        <v>45187.66667</v>
      </c>
      <c r="B1108" s="2">
        <f>IFERROR(__xludf.DUMMYFUNCTION("""COMPUTED_VALUE"""),265.28)</f>
        <v>265.28</v>
      </c>
      <c r="C1108" s="3">
        <v>230.30291024433</v>
      </c>
    </row>
    <row r="1109">
      <c r="A1109" s="1">
        <f>IFERROR(__xludf.DUMMYFUNCTION("""COMPUTED_VALUE"""),45188.66666666667)</f>
        <v>45188.66667</v>
      </c>
      <c r="B1109" s="2">
        <f>IFERROR(__xludf.DUMMYFUNCTION("""COMPUTED_VALUE"""),266.5)</f>
        <v>266.5</v>
      </c>
      <c r="C1109" s="3">
        <v>229.145259749896</v>
      </c>
    </row>
    <row r="1110">
      <c r="A1110" s="1">
        <f>IFERROR(__xludf.DUMMYFUNCTION("""COMPUTED_VALUE"""),45189.66666666667)</f>
        <v>45189.66667</v>
      </c>
      <c r="B1110" s="2">
        <f>IFERROR(__xludf.DUMMYFUNCTION("""COMPUTED_VALUE"""),262.59)</f>
        <v>262.59</v>
      </c>
      <c r="C1110" s="3">
        <v>229.148080494855</v>
      </c>
    </row>
    <row r="1111">
      <c r="A1111" s="1">
        <f>IFERROR(__xludf.DUMMYFUNCTION("""COMPUTED_VALUE"""),45190.66666666667)</f>
        <v>45190.66667</v>
      </c>
      <c r="B1111" s="2">
        <f>IFERROR(__xludf.DUMMYFUNCTION("""COMPUTED_VALUE"""),255.7)</f>
        <v>255.7</v>
      </c>
      <c r="C1111" s="3">
        <v>227.840573673455</v>
      </c>
    </row>
    <row r="1112">
      <c r="A1112" s="1">
        <f>IFERROR(__xludf.DUMMYFUNCTION("""COMPUTED_VALUE"""),45191.66666666667)</f>
        <v>45191.66667</v>
      </c>
      <c r="B1112" s="2">
        <f>IFERROR(__xludf.DUMMYFUNCTION("""COMPUTED_VALUE"""),244.88)</f>
        <v>244.88</v>
      </c>
      <c r="C1112" s="3">
        <v>226.740506486903</v>
      </c>
    </row>
    <row r="1113">
      <c r="A1113" s="1">
        <f>IFERROR(__xludf.DUMMYFUNCTION("""COMPUTED_VALUE"""),45194.66666666667)</f>
        <v>45194.66667</v>
      </c>
      <c r="B1113" s="2">
        <f>IFERROR(__xludf.DUMMYFUNCTION("""COMPUTED_VALUE"""),246.99)</f>
        <v>246.99</v>
      </c>
      <c r="C1113" s="3">
        <v>226.292853273772</v>
      </c>
    </row>
    <row r="1114">
      <c r="A1114" s="1">
        <f>IFERROR(__xludf.DUMMYFUNCTION("""COMPUTED_VALUE"""),45195.66666666667)</f>
        <v>45195.66667</v>
      </c>
      <c r="B1114" s="2">
        <f>IFERROR(__xludf.DUMMYFUNCTION("""COMPUTED_VALUE"""),244.12)</f>
        <v>244.12</v>
      </c>
      <c r="C1114" s="3">
        <v>224.430426474849</v>
      </c>
    </row>
    <row r="1115">
      <c r="A1115" s="1">
        <f>IFERROR(__xludf.DUMMYFUNCTION("""COMPUTED_VALUE"""),45196.66666666667)</f>
        <v>45196.66667</v>
      </c>
      <c r="B1115" s="2">
        <f>IFERROR(__xludf.DUMMYFUNCTION("""COMPUTED_VALUE"""),240.5)</f>
        <v>240.5</v>
      </c>
      <c r="C1115" s="3">
        <v>223.788818065247</v>
      </c>
    </row>
    <row r="1116">
      <c r="A1116" s="1">
        <f>IFERROR(__xludf.DUMMYFUNCTION("""COMPUTED_VALUE"""),45197.66666666667)</f>
        <v>45197.66667</v>
      </c>
      <c r="B1116" s="2">
        <f>IFERROR(__xludf.DUMMYFUNCTION("""COMPUTED_VALUE"""),246.38)</f>
        <v>246.38</v>
      </c>
      <c r="C1116" s="3">
        <v>221.911995503465</v>
      </c>
    </row>
    <row r="1117">
      <c r="A1117" s="1">
        <f>IFERROR(__xludf.DUMMYFUNCTION("""COMPUTED_VALUE"""),45198.66666666667)</f>
        <v>45198.66667</v>
      </c>
      <c r="B1117" s="2">
        <f>IFERROR(__xludf.DUMMYFUNCTION("""COMPUTED_VALUE"""),250.22)</f>
        <v>250.22</v>
      </c>
      <c r="C1117" s="3">
        <v>220.331137677898</v>
      </c>
    </row>
    <row r="1118">
      <c r="A1118" s="1">
        <f>IFERROR(__xludf.DUMMYFUNCTION("""COMPUTED_VALUE"""),45201.66666666667)</f>
        <v>45201.66667</v>
      </c>
      <c r="B1118" s="2">
        <f>IFERROR(__xludf.DUMMYFUNCTION("""COMPUTED_VALUE"""),251.6)</f>
        <v>251.6</v>
      </c>
      <c r="C1118" s="3">
        <v>219.07840265899</v>
      </c>
    </row>
    <row r="1119">
      <c r="A1119" s="1">
        <f>IFERROR(__xludf.DUMMYFUNCTION("""COMPUTED_VALUE"""),45202.66666666667)</f>
        <v>45202.66667</v>
      </c>
      <c r="B1119" s="2">
        <f>IFERROR(__xludf.DUMMYFUNCTION("""COMPUTED_VALUE"""),246.53)</f>
        <v>246.53</v>
      </c>
      <c r="C1119" s="3">
        <v>217.183967950526</v>
      </c>
    </row>
    <row r="1120">
      <c r="A1120" s="1">
        <f>IFERROR(__xludf.DUMMYFUNCTION("""COMPUTED_VALUE"""),45203.66666666667)</f>
        <v>45203.66667</v>
      </c>
      <c r="B1120" s="2">
        <f>IFERROR(__xludf.DUMMYFUNCTION("""COMPUTED_VALUE"""),261.16)</f>
        <v>261.16</v>
      </c>
      <c r="C1120" s="3">
        <v>216.633962093091</v>
      </c>
    </row>
    <row r="1121">
      <c r="A1121" s="1">
        <f>IFERROR(__xludf.DUMMYFUNCTION("""COMPUTED_VALUE"""),45204.66666666667)</f>
        <v>45204.66667</v>
      </c>
      <c r="B1121" s="2">
        <f>IFERROR(__xludf.DUMMYFUNCTION("""COMPUTED_VALUE"""),260.05)</f>
        <v>260.05</v>
      </c>
      <c r="C1121" s="3">
        <v>214.971404675614</v>
      </c>
    </row>
    <row r="1122">
      <c r="A1122" s="1">
        <f>IFERROR(__xludf.DUMMYFUNCTION("""COMPUTED_VALUE"""),45205.66666666667)</f>
        <v>45205.66667</v>
      </c>
      <c r="B1122" s="2">
        <f>IFERROR(__xludf.DUMMYFUNCTION("""COMPUTED_VALUE"""),260.53)</f>
        <v>260.53</v>
      </c>
      <c r="C1122" s="3">
        <v>213.723663732779</v>
      </c>
    </row>
    <row r="1123">
      <c r="A1123" s="1">
        <f>IFERROR(__xludf.DUMMYFUNCTION("""COMPUTED_VALUE"""),45208.66666666667)</f>
        <v>45208.66667</v>
      </c>
      <c r="B1123" s="2">
        <f>IFERROR(__xludf.DUMMYFUNCTION("""COMPUTED_VALUE"""),259.67)</f>
        <v>259.67</v>
      </c>
      <c r="C1123" s="3">
        <v>214.104163751227</v>
      </c>
    </row>
    <row r="1124">
      <c r="A1124" s="1">
        <f>IFERROR(__xludf.DUMMYFUNCTION("""COMPUTED_VALUE"""),45209.66666666667)</f>
        <v>45209.66667</v>
      </c>
      <c r="B1124" s="2">
        <f>IFERROR(__xludf.DUMMYFUNCTION("""COMPUTED_VALUE"""),263.62)</f>
        <v>263.62</v>
      </c>
      <c r="C1124" s="3">
        <v>212.92662953549</v>
      </c>
    </row>
    <row r="1125">
      <c r="A1125" s="1">
        <f>IFERROR(__xludf.DUMMYFUNCTION("""COMPUTED_VALUE"""),45210.66666666667)</f>
        <v>45210.66667</v>
      </c>
      <c r="B1125" s="2">
        <f>IFERROR(__xludf.DUMMYFUNCTION("""COMPUTED_VALUE"""),262.99)</f>
        <v>262.99</v>
      </c>
      <c r="C1125" s="3">
        <v>213.155144070534</v>
      </c>
    </row>
    <row r="1126">
      <c r="A1126" s="1">
        <f>IFERROR(__xludf.DUMMYFUNCTION("""COMPUTED_VALUE"""),45211.66666666667)</f>
        <v>45211.66667</v>
      </c>
      <c r="B1126" s="2">
        <f>IFERROR(__xludf.DUMMYFUNCTION("""COMPUTED_VALUE"""),258.87)</f>
        <v>258.87</v>
      </c>
      <c r="C1126" s="3">
        <v>212.315573996231</v>
      </c>
    </row>
    <row r="1127">
      <c r="A1127" s="1">
        <f>IFERROR(__xludf.DUMMYFUNCTION("""COMPUTED_VALUE"""),45212.66666666667)</f>
        <v>45212.66667</v>
      </c>
      <c r="B1127" s="2">
        <f>IFERROR(__xludf.DUMMYFUNCTION("""COMPUTED_VALUE"""),251.12)</f>
        <v>251.12</v>
      </c>
      <c r="C1127" s="3">
        <v>211.917141891732</v>
      </c>
    </row>
    <row r="1128">
      <c r="A1128" s="1">
        <f>IFERROR(__xludf.DUMMYFUNCTION("""COMPUTED_VALUE"""),45215.66666666667)</f>
        <v>45215.66667</v>
      </c>
      <c r="B1128" s="2">
        <f>IFERROR(__xludf.DUMMYFUNCTION("""COMPUTED_VALUE"""),253.92)</f>
        <v>253.92</v>
      </c>
      <c r="C1128" s="3">
        <v>214.817102685944</v>
      </c>
    </row>
    <row r="1129">
      <c r="A1129" s="1">
        <f>IFERROR(__xludf.DUMMYFUNCTION("""COMPUTED_VALUE"""),45216.66666666667)</f>
        <v>45216.66667</v>
      </c>
      <c r="B1129" s="2">
        <f>IFERROR(__xludf.DUMMYFUNCTION("""COMPUTED_VALUE"""),254.85)</f>
        <v>254.85</v>
      </c>
      <c r="C1129" s="3">
        <v>214.409527913138</v>
      </c>
    </row>
    <row r="1130">
      <c r="A1130" s="1">
        <f>IFERROR(__xludf.DUMMYFUNCTION("""COMPUTED_VALUE"""),45217.66666666667)</f>
        <v>45217.66667</v>
      </c>
      <c r="B1130" s="2">
        <f>IFERROR(__xludf.DUMMYFUNCTION("""COMPUTED_VALUE"""),242.68)</f>
        <v>242.68</v>
      </c>
      <c r="C1130" s="3">
        <v>215.345431150041</v>
      </c>
    </row>
    <row r="1131">
      <c r="A1131" s="1">
        <f>IFERROR(__xludf.DUMMYFUNCTION("""COMPUTED_VALUE"""),45218.66666666667)</f>
        <v>45218.66667</v>
      </c>
      <c r="B1131" s="2">
        <f>IFERROR(__xludf.DUMMYFUNCTION("""COMPUTED_VALUE"""),220.11)</f>
        <v>220.11</v>
      </c>
      <c r="C1131" s="3">
        <v>215.13655111191</v>
      </c>
    </row>
    <row r="1132">
      <c r="A1132" s="1">
        <f>IFERROR(__xludf.DUMMYFUNCTION("""COMPUTED_VALUE"""),45219.66666666667)</f>
        <v>45219.66667</v>
      </c>
      <c r="B1132" s="2">
        <f>IFERROR(__xludf.DUMMYFUNCTION("""COMPUTED_VALUE"""),211.99)</f>
        <v>211.99</v>
      </c>
      <c r="C1132" s="3">
        <v>215.280161232412</v>
      </c>
    </row>
    <row r="1133">
      <c r="A1133" s="1">
        <f>IFERROR(__xludf.DUMMYFUNCTION("""COMPUTED_VALUE"""),45222.66666666667)</f>
        <v>45222.66667</v>
      </c>
      <c r="B1133" s="2">
        <f>IFERROR(__xludf.DUMMYFUNCTION("""COMPUTED_VALUE"""),212.08)</f>
        <v>212.08</v>
      </c>
      <c r="C1133" s="3">
        <v>219.193599845262</v>
      </c>
    </row>
    <row r="1134">
      <c r="A1134" s="1">
        <f>IFERROR(__xludf.DUMMYFUNCTION("""COMPUTED_VALUE"""),45223.66666666667)</f>
        <v>45223.66667</v>
      </c>
      <c r="B1134" s="2">
        <f>IFERROR(__xludf.DUMMYFUNCTION("""COMPUTED_VALUE"""),216.52)</f>
        <v>216.52</v>
      </c>
      <c r="C1134" s="3">
        <v>218.90696042209</v>
      </c>
    </row>
    <row r="1135">
      <c r="A1135" s="1">
        <f>IFERROR(__xludf.DUMMYFUNCTION("""COMPUTED_VALUE"""),45224.66666666667)</f>
        <v>45224.66667</v>
      </c>
      <c r="B1135" s="2">
        <f>IFERROR(__xludf.DUMMYFUNCTION("""COMPUTED_VALUE"""),212.42)</f>
        <v>212.42</v>
      </c>
      <c r="C1135" s="3">
        <v>219.856434360813</v>
      </c>
    </row>
    <row r="1136">
      <c r="A1136" s="1">
        <f>IFERROR(__xludf.DUMMYFUNCTION("""COMPUTED_VALUE"""),45225.66666666667)</f>
        <v>45225.66667</v>
      </c>
      <c r="B1136" s="2">
        <f>IFERROR(__xludf.DUMMYFUNCTION("""COMPUTED_VALUE"""),205.76)</f>
        <v>205.76</v>
      </c>
      <c r="C1136" s="3">
        <v>219.558801914583</v>
      </c>
    </row>
    <row r="1137">
      <c r="A1137" s="1">
        <f>IFERROR(__xludf.DUMMYFUNCTION("""COMPUTED_VALUE"""),45226.66666666667)</f>
        <v>45226.66667</v>
      </c>
      <c r="B1137" s="2">
        <f>IFERROR(__xludf.DUMMYFUNCTION("""COMPUTED_VALUE"""),207.3)</f>
        <v>207.3</v>
      </c>
      <c r="C1137" s="3">
        <v>219.519112734209</v>
      </c>
    </row>
    <row r="1138">
      <c r="A1138" s="1">
        <f>IFERROR(__xludf.DUMMYFUNCTION("""COMPUTED_VALUE"""),45229.66666666667)</f>
        <v>45229.66667</v>
      </c>
      <c r="B1138" s="2">
        <f>IFERROR(__xludf.DUMMYFUNCTION("""COMPUTED_VALUE"""),197.36)</f>
        <v>197.36</v>
      </c>
      <c r="C1138" s="3">
        <v>222.428532461675</v>
      </c>
    </row>
    <row r="1139">
      <c r="A1139" s="1">
        <f>IFERROR(__xludf.DUMMYFUNCTION("""COMPUTED_VALUE"""),45230.66666666667)</f>
        <v>45230.66667</v>
      </c>
      <c r="B1139" s="2">
        <f>IFERROR(__xludf.DUMMYFUNCTION("""COMPUTED_VALUE"""),200.84)</f>
        <v>200.84</v>
      </c>
      <c r="C1139" s="3">
        <v>221.702874845591</v>
      </c>
    </row>
    <row r="1140">
      <c r="A1140" s="1">
        <f>IFERROR(__xludf.DUMMYFUNCTION("""COMPUTED_VALUE"""),45231.66666666667)</f>
        <v>45231.66667</v>
      </c>
      <c r="B1140" s="2">
        <f>IFERROR(__xludf.DUMMYFUNCTION("""COMPUTED_VALUE"""),205.66)</f>
        <v>205.66</v>
      </c>
      <c r="C1140" s="3">
        <v>222.187833458691</v>
      </c>
    </row>
    <row r="1141">
      <c r="A1141" s="1">
        <f>IFERROR(__xludf.DUMMYFUNCTION("""COMPUTED_VALUE"""),45232.66666666667)</f>
        <v>45232.66667</v>
      </c>
      <c r="B1141" s="2">
        <f>IFERROR(__xludf.DUMMYFUNCTION("""COMPUTED_VALUE"""),218.51)</f>
        <v>218.51</v>
      </c>
      <c r="C1141" s="3">
        <v>221.417090390518</v>
      </c>
    </row>
    <row r="1142">
      <c r="A1142" s="1">
        <f>IFERROR(__xludf.DUMMYFUNCTION("""COMPUTED_VALUE"""),45233.66666666667)</f>
        <v>45233.66667</v>
      </c>
      <c r="B1142" s="2">
        <f>IFERROR(__xludf.DUMMYFUNCTION("""COMPUTED_VALUE"""),219.96)</f>
        <v>219.96</v>
      </c>
      <c r="C1142" s="3">
        <v>220.912491167425</v>
      </c>
    </row>
    <row r="1143">
      <c r="A1143" s="1">
        <f>IFERROR(__xludf.DUMMYFUNCTION("""COMPUTED_VALUE"""),45236.66666666667)</f>
        <v>45236.66667</v>
      </c>
      <c r="B1143" s="2">
        <f>IFERROR(__xludf.DUMMYFUNCTION("""COMPUTED_VALUE"""),219.27)</f>
        <v>219.27</v>
      </c>
      <c r="C1143" s="3">
        <v>222.632309536648</v>
      </c>
    </row>
    <row r="1144">
      <c r="A1144" s="1">
        <f>IFERROR(__xludf.DUMMYFUNCTION("""COMPUTED_VALUE"""),45237.66666666667)</f>
        <v>45237.66667</v>
      </c>
      <c r="B1144" s="2">
        <f>IFERROR(__xludf.DUMMYFUNCTION("""COMPUTED_VALUE"""),222.18)</f>
        <v>222.18</v>
      </c>
      <c r="C1144" s="3">
        <v>221.623220225771</v>
      </c>
    </row>
    <row r="1145">
      <c r="A1145" s="1">
        <f>IFERROR(__xludf.DUMMYFUNCTION("""COMPUTED_VALUE"""),45238.66666666667)</f>
        <v>45238.66667</v>
      </c>
      <c r="B1145" s="2">
        <f>IFERROR(__xludf.DUMMYFUNCTION("""COMPUTED_VALUE"""),222.11)</f>
        <v>222.11</v>
      </c>
      <c r="C1145" s="3">
        <v>221.898620860474</v>
      </c>
    </row>
    <row r="1146">
      <c r="A1146" s="1">
        <f>IFERROR(__xludf.DUMMYFUNCTION("""COMPUTED_VALUE"""),45239.66666666667)</f>
        <v>45239.66667</v>
      </c>
      <c r="B1146" s="2">
        <f>IFERROR(__xludf.DUMMYFUNCTION("""COMPUTED_VALUE"""),209.98)</f>
        <v>209.98</v>
      </c>
      <c r="C1146" s="3">
        <v>220.998879326283</v>
      </c>
    </row>
    <row r="1147">
      <c r="A1147" s="1">
        <f>IFERROR(__xludf.DUMMYFUNCTION("""COMPUTED_VALUE"""),45240.66666666667)</f>
        <v>45240.66667</v>
      </c>
      <c r="B1147" s="2">
        <f>IFERROR(__xludf.DUMMYFUNCTION("""COMPUTED_VALUE"""),214.65)</f>
        <v>214.65</v>
      </c>
      <c r="C1147" s="3">
        <v>220.4497339067</v>
      </c>
    </row>
    <row r="1148">
      <c r="A1148" s="1">
        <f>IFERROR(__xludf.DUMMYFUNCTION("""COMPUTED_VALUE"""),45243.66666666667)</f>
        <v>45243.66667</v>
      </c>
      <c r="B1148" s="2">
        <f>IFERROR(__xludf.DUMMYFUNCTION("""COMPUTED_VALUE"""),223.71)</f>
        <v>223.71</v>
      </c>
      <c r="C1148" s="3">
        <v>222.537746503841</v>
      </c>
    </row>
    <row r="1149">
      <c r="A1149" s="1">
        <f>IFERROR(__xludf.DUMMYFUNCTION("""COMPUTED_VALUE"""),45244.66666666667)</f>
        <v>45244.66667</v>
      </c>
      <c r="B1149" s="2">
        <f>IFERROR(__xludf.DUMMYFUNCTION("""COMPUTED_VALUE"""),237.41)</f>
        <v>237.41</v>
      </c>
      <c r="C1149" s="3">
        <v>221.80262234266</v>
      </c>
    </row>
    <row r="1150">
      <c r="A1150" s="1">
        <f>IFERROR(__xludf.DUMMYFUNCTION("""COMPUTED_VALUE"""),45245.66666666667)</f>
        <v>45245.66667</v>
      </c>
      <c r="B1150" s="2">
        <f>IFERROR(__xludf.DUMMYFUNCTION("""COMPUTED_VALUE"""),242.84)</f>
        <v>242.84</v>
      </c>
      <c r="C1150" s="3">
        <v>222.412876139984</v>
      </c>
    </row>
    <row r="1151">
      <c r="A1151" s="1">
        <f>IFERROR(__xludf.DUMMYFUNCTION("""COMPUTED_VALUE"""),45246.66666666667)</f>
        <v>45246.66667</v>
      </c>
      <c r="B1151" s="2">
        <f>IFERROR(__xludf.DUMMYFUNCTION("""COMPUTED_VALUE"""),233.59)</f>
        <v>233.59</v>
      </c>
      <c r="C1151" s="3">
        <v>221.896546890665</v>
      </c>
    </row>
    <row r="1152">
      <c r="A1152" s="1">
        <f>IFERROR(__xludf.DUMMYFUNCTION("""COMPUTED_VALUE"""),45247.66666666667)</f>
        <v>45247.66667</v>
      </c>
      <c r="B1152" s="2">
        <f>IFERROR(__xludf.DUMMYFUNCTION("""COMPUTED_VALUE"""),234.3)</f>
        <v>234.3</v>
      </c>
      <c r="C1152" s="3">
        <v>221.765209322008</v>
      </c>
    </row>
    <row r="1153">
      <c r="A1153" s="1">
        <f>IFERROR(__xludf.DUMMYFUNCTION("""COMPUTED_VALUE"""),45250.66666666667)</f>
        <v>45250.66667</v>
      </c>
      <c r="B1153" s="2">
        <f>IFERROR(__xludf.DUMMYFUNCTION("""COMPUTED_VALUE"""),235.6)</f>
        <v>235.6</v>
      </c>
      <c r="C1153" s="3">
        <v>225.153288756024</v>
      </c>
    </row>
    <row r="1154">
      <c r="A1154" s="1">
        <f>IFERROR(__xludf.DUMMYFUNCTION("""COMPUTED_VALUE"""),45251.66666666667)</f>
        <v>45251.66667</v>
      </c>
      <c r="B1154" s="2">
        <f>IFERROR(__xludf.DUMMYFUNCTION("""COMPUTED_VALUE"""),241.2)</f>
        <v>241.2</v>
      </c>
      <c r="C1154" s="3">
        <v>224.811288108756</v>
      </c>
    </row>
    <row r="1155">
      <c r="A1155" s="1">
        <f>IFERROR(__xludf.DUMMYFUNCTION("""COMPUTED_VALUE"""),45252.66666666667)</f>
        <v>45252.66667</v>
      </c>
      <c r="B1155" s="2">
        <f>IFERROR(__xludf.DUMMYFUNCTION("""COMPUTED_VALUE"""),234.21)</f>
        <v>234.21</v>
      </c>
      <c r="C1155" s="3">
        <v>225.767227030235</v>
      </c>
    </row>
    <row r="1156">
      <c r="A1156" s="1">
        <f>IFERROR(__xludf.DUMMYFUNCTION("""COMPUTED_VALUE"""),45254.54513888889)</f>
        <v>45254.54514</v>
      </c>
      <c r="B1156" s="2">
        <f>IFERROR(__xludf.DUMMYFUNCTION("""COMPUTED_VALUE"""),235.45)</f>
        <v>235.45</v>
      </c>
      <c r="C1156" s="3">
        <v>225.610450280397</v>
      </c>
    </row>
    <row r="1157">
      <c r="A1157" s="1">
        <f>IFERROR(__xludf.DUMMYFUNCTION("""COMPUTED_VALUE"""),45257.66666666667)</f>
        <v>45257.66667</v>
      </c>
      <c r="B1157" s="2">
        <f>IFERROR(__xludf.DUMMYFUNCTION("""COMPUTED_VALUE"""),236.08)</f>
        <v>236.08</v>
      </c>
      <c r="C1157" s="3">
        <v>229.067748936265</v>
      </c>
    </row>
    <row r="1158">
      <c r="A1158" s="1">
        <f>IFERROR(__xludf.DUMMYFUNCTION("""COMPUTED_VALUE"""),45258.66666666667)</f>
        <v>45258.66667</v>
      </c>
      <c r="B1158" s="2">
        <f>IFERROR(__xludf.DUMMYFUNCTION("""COMPUTED_VALUE"""),246.72)</f>
        <v>246.72</v>
      </c>
      <c r="C1158" s="3">
        <v>228.544704656727</v>
      </c>
    </row>
    <row r="1159">
      <c r="A1159" s="1">
        <f>IFERROR(__xludf.DUMMYFUNCTION("""COMPUTED_VALUE"""),45259.66666666667)</f>
        <v>45259.66667</v>
      </c>
      <c r="B1159" s="2">
        <f>IFERROR(__xludf.DUMMYFUNCTION("""COMPUTED_VALUE"""),244.14)</f>
        <v>244.14</v>
      </c>
      <c r="C1159" s="3">
        <v>229.215319580017</v>
      </c>
    </row>
    <row r="1160">
      <c r="A1160" s="1">
        <f>IFERROR(__xludf.DUMMYFUNCTION("""COMPUTED_VALUE"""),45260.66666666667)</f>
        <v>45260.66667</v>
      </c>
      <c r="B1160" s="2">
        <f>IFERROR(__xludf.DUMMYFUNCTION("""COMPUTED_VALUE"""),240.08)</f>
        <v>240.08</v>
      </c>
      <c r="C1160" s="3">
        <v>228.596124139687</v>
      </c>
    </row>
    <row r="1161">
      <c r="A1161" s="1">
        <f>IFERROR(__xludf.DUMMYFUNCTION("""COMPUTED_VALUE"""),45261.66666666667)</f>
        <v>45261.66667</v>
      </c>
      <c r="B1161" s="2">
        <f>IFERROR(__xludf.DUMMYFUNCTION("""COMPUTED_VALUE"""),238.83)</f>
        <v>238.83</v>
      </c>
      <c r="C1161" s="3">
        <v>228.192003556846</v>
      </c>
    </row>
    <row r="1162">
      <c r="A1162" s="1">
        <f>IFERROR(__xludf.DUMMYFUNCTION("""COMPUTED_VALUE"""),45264.66666666667)</f>
        <v>45264.66667</v>
      </c>
      <c r="B1162" s="2">
        <f>IFERROR(__xludf.DUMMYFUNCTION("""COMPUTED_VALUE"""),235.58)</f>
        <v>235.58</v>
      </c>
      <c r="C1162" s="3">
        <v>229.752861055581</v>
      </c>
    </row>
    <row r="1163">
      <c r="A1163" s="1">
        <f>IFERROR(__xludf.DUMMYFUNCTION("""COMPUTED_VALUE"""),45265.66666666667)</f>
        <v>45265.66667</v>
      </c>
      <c r="B1163" s="2">
        <f>IFERROR(__xludf.DUMMYFUNCTION("""COMPUTED_VALUE"""),238.72)</f>
        <v>238.72</v>
      </c>
      <c r="C1163" s="3">
        <v>228.495190955158</v>
      </c>
    </row>
    <row r="1164">
      <c r="A1164" s="1">
        <f>IFERROR(__xludf.DUMMYFUNCTION("""COMPUTED_VALUE"""),45266.66666666667)</f>
        <v>45266.66667</v>
      </c>
      <c r="B1164" s="2">
        <f>IFERROR(__xludf.DUMMYFUNCTION("""COMPUTED_VALUE"""),239.37)</f>
        <v>239.37</v>
      </c>
      <c r="C1164" s="3">
        <v>228.409509872296</v>
      </c>
    </row>
    <row r="1165">
      <c r="A1165" s="1">
        <f>IFERROR(__xludf.DUMMYFUNCTION("""COMPUTED_VALUE"""),45267.66666666667)</f>
        <v>45267.66667</v>
      </c>
      <c r="B1165" s="2">
        <f>IFERROR(__xludf.DUMMYFUNCTION("""COMPUTED_VALUE"""),242.64)</f>
        <v>242.64</v>
      </c>
      <c r="C1165" s="3">
        <v>227.03203581835</v>
      </c>
    </row>
    <row r="1166">
      <c r="A1166" s="1">
        <f>IFERROR(__xludf.DUMMYFUNCTION("""COMPUTED_VALUE"""),45268.66666666667)</f>
        <v>45268.66667</v>
      </c>
      <c r="B1166" s="2">
        <f>IFERROR(__xludf.DUMMYFUNCTION("""COMPUTED_VALUE"""),243.84)</f>
        <v>243.84</v>
      </c>
      <c r="C1166" s="3">
        <v>225.887877087852</v>
      </c>
    </row>
    <row r="1167">
      <c r="A1167" s="1">
        <f>IFERROR(__xludf.DUMMYFUNCTION("""COMPUTED_VALUE"""),45271.66666666667)</f>
        <v>45271.66667</v>
      </c>
      <c r="B1167" s="2">
        <f>IFERROR(__xludf.DUMMYFUNCTION("""COMPUTED_VALUE"""),239.74)</f>
        <v>239.74</v>
      </c>
      <c r="C1167" s="3">
        <v>225.536078424533</v>
      </c>
    </row>
    <row r="1168">
      <c r="A1168" s="1">
        <f>IFERROR(__xludf.DUMMYFUNCTION("""COMPUTED_VALUE"""),45272.66666666667)</f>
        <v>45272.66667</v>
      </c>
      <c r="B1168" s="2">
        <f>IFERROR(__xludf.DUMMYFUNCTION("""COMPUTED_VALUE"""),237.01)</f>
        <v>237.01</v>
      </c>
      <c r="C1168" s="3">
        <v>223.803886689781</v>
      </c>
    </row>
    <row r="1169">
      <c r="A1169" s="1">
        <f>IFERROR(__xludf.DUMMYFUNCTION("""COMPUTED_VALUE"""),45273.66666666667)</f>
        <v>45273.66667</v>
      </c>
      <c r="B1169" s="2">
        <f>IFERROR(__xludf.DUMMYFUNCTION("""COMPUTED_VALUE"""),239.29)</f>
        <v>239.29</v>
      </c>
      <c r="C1169" s="3">
        <v>223.350828136234</v>
      </c>
    </row>
    <row r="1170">
      <c r="A1170" s="1">
        <f>IFERROR(__xludf.DUMMYFUNCTION("""COMPUTED_VALUE"""),45274.66666666667)</f>
        <v>45274.66667</v>
      </c>
      <c r="B1170" s="2">
        <f>IFERROR(__xludf.DUMMYFUNCTION("""COMPUTED_VALUE"""),251.05)</f>
        <v>251.05</v>
      </c>
      <c r="C1170" s="3">
        <v>221.724692066744</v>
      </c>
    </row>
    <row r="1171">
      <c r="A1171" s="1">
        <f>IFERROR(__xludf.DUMMYFUNCTION("""COMPUTED_VALUE"""),45275.66666666667)</f>
        <v>45275.66667</v>
      </c>
      <c r="B1171" s="2">
        <f>IFERROR(__xludf.DUMMYFUNCTION("""COMPUTED_VALUE"""),253.5)</f>
        <v>253.5</v>
      </c>
      <c r="C1171" s="3">
        <v>220.459061125865</v>
      </c>
    </row>
    <row r="1172">
      <c r="A1172" s="1">
        <f>IFERROR(__xludf.DUMMYFUNCTION("""COMPUTED_VALUE"""),45278.66666666667)</f>
        <v>45278.66667</v>
      </c>
      <c r="B1172" s="2">
        <f>IFERROR(__xludf.DUMMYFUNCTION("""COMPUTED_VALUE"""),252.08)</f>
        <v>252.08</v>
      </c>
      <c r="C1172" s="3">
        <v>220.538809112786</v>
      </c>
    </row>
    <row r="1173">
      <c r="A1173" s="1">
        <f>IFERROR(__xludf.DUMMYFUNCTION("""COMPUTED_VALUE"""),45279.66666666667)</f>
        <v>45279.66667</v>
      </c>
      <c r="B1173" s="2">
        <f>IFERROR(__xludf.DUMMYFUNCTION("""COMPUTED_VALUE"""),257.22)</f>
        <v>257.22</v>
      </c>
      <c r="C1173" s="3">
        <v>219.208509312044</v>
      </c>
    </row>
    <row r="1174">
      <c r="A1174" s="1">
        <f>IFERROR(__xludf.DUMMYFUNCTION("""COMPUTED_VALUE"""),45280.66666666667)</f>
        <v>45280.66667</v>
      </c>
      <c r="B1174" s="2">
        <f>IFERROR(__xludf.DUMMYFUNCTION("""COMPUTED_VALUE"""),247.14)</f>
        <v>247.14</v>
      </c>
      <c r="C1174" s="3">
        <v>219.273640981819</v>
      </c>
    </row>
    <row r="1175">
      <c r="A1175" s="1">
        <f>IFERROR(__xludf.DUMMYFUNCTION("""COMPUTED_VALUE"""),45281.66666666667)</f>
        <v>45281.66667</v>
      </c>
      <c r="B1175" s="2">
        <f>IFERROR(__xludf.DUMMYFUNCTION("""COMPUTED_VALUE"""),254.5)</f>
        <v>254.5</v>
      </c>
      <c r="C1175" s="3">
        <v>218.269217062914</v>
      </c>
    </row>
    <row r="1176">
      <c r="A1176" s="1">
        <f>IFERROR(__xludf.DUMMYFUNCTION("""COMPUTED_VALUE"""),45282.66666666667)</f>
        <v>45282.66667</v>
      </c>
      <c r="B1176" s="2">
        <f>IFERROR(__xludf.DUMMYFUNCTION("""COMPUTED_VALUE"""),252.54)</f>
        <v>252.54</v>
      </c>
      <c r="C1176" s="3">
        <v>217.71300945037</v>
      </c>
    </row>
    <row r="1177">
      <c r="A1177" s="1">
        <f>IFERROR(__xludf.DUMMYFUNCTION("""COMPUTED_VALUE"""),45286.66666666667)</f>
        <v>45286.66667</v>
      </c>
      <c r="B1177" s="2">
        <f>IFERROR(__xludf.DUMMYFUNCTION("""COMPUTED_VALUE"""),256.61)</f>
        <v>256.61</v>
      </c>
      <c r="C1177" s="3">
        <v>219.779648089907</v>
      </c>
    </row>
    <row r="1178">
      <c r="A1178" s="1">
        <f>IFERROR(__xludf.DUMMYFUNCTION("""COMPUTED_VALUE"""),45287.66666666667)</f>
        <v>45287.66667</v>
      </c>
      <c r="B1178" s="2">
        <f>IFERROR(__xludf.DUMMYFUNCTION("""COMPUTED_VALUE"""),261.44)</f>
        <v>261.44</v>
      </c>
      <c r="C1178" s="3">
        <v>220.681829077945</v>
      </c>
    </row>
    <row r="1179">
      <c r="A1179" s="1">
        <f>IFERROR(__xludf.DUMMYFUNCTION("""COMPUTED_VALUE"""),45288.66666666667)</f>
        <v>45288.66667</v>
      </c>
      <c r="B1179" s="2">
        <f>IFERROR(__xludf.DUMMYFUNCTION("""COMPUTED_VALUE"""),253.18)</f>
        <v>253.18</v>
      </c>
      <c r="C1179" s="3">
        <v>220.471061861383</v>
      </c>
    </row>
    <row r="1180">
      <c r="A1180" s="1">
        <f>IFERROR(__xludf.DUMMYFUNCTION("""COMPUTED_VALUE"""),45289.66666666667)</f>
        <v>45289.66667</v>
      </c>
      <c r="B1180" s="2">
        <f>IFERROR(__xludf.DUMMYFUNCTION("""COMPUTED_VALUE"""),248.48)</f>
        <v>248.48</v>
      </c>
      <c r="C1180" s="3">
        <v>220.642864060289</v>
      </c>
    </row>
    <row r="1181">
      <c r="A1181" s="1">
        <f>IFERROR(__xludf.DUMMYFUNCTION("""COMPUTED_VALUE"""),45293.66666666667)</f>
        <v>45293.66667</v>
      </c>
      <c r="B1181" s="2">
        <f>IFERROR(__xludf.DUMMYFUNCTION("""COMPUTED_VALUE"""),248.42)</f>
        <v>248.42</v>
      </c>
      <c r="C1181" s="3">
        <v>224.587922439988</v>
      </c>
    </row>
    <row r="1182">
      <c r="A1182" s="1">
        <f>IFERROR(__xludf.DUMMYFUNCTION("""COMPUTED_VALUE"""),45294.66666666667)</f>
        <v>45294.66667</v>
      </c>
      <c r="B1182" s="2">
        <f>IFERROR(__xludf.DUMMYFUNCTION("""COMPUTED_VALUE"""),238.45)</f>
        <v>238.45</v>
      </c>
      <c r="C1182" s="3">
        <v>225.631484175305</v>
      </c>
    </row>
    <row r="1183">
      <c r="A1183" s="1">
        <f>IFERROR(__xludf.DUMMYFUNCTION("""COMPUTED_VALUE"""),45295.66666666667)</f>
        <v>45295.66667</v>
      </c>
      <c r="B1183" s="2">
        <f>IFERROR(__xludf.DUMMYFUNCTION("""COMPUTED_VALUE"""),237.93)</f>
        <v>237.93</v>
      </c>
      <c r="C1183" s="3">
        <v>225.415034239462</v>
      </c>
    </row>
    <row r="1184">
      <c r="A1184" s="1">
        <f>IFERROR(__xludf.DUMMYFUNCTION("""COMPUTED_VALUE"""),45296.66666666667)</f>
        <v>45296.66667</v>
      </c>
      <c r="B1184" s="2">
        <f>IFERROR(__xludf.DUMMYFUNCTION("""COMPUTED_VALUE"""),237.49)</f>
        <v>237.49</v>
      </c>
      <c r="C1184" s="3">
        <v>225.433073395468</v>
      </c>
    </row>
    <row r="1185">
      <c r="A1185" s="1">
        <f>IFERROR(__xludf.DUMMYFUNCTION("""COMPUTED_VALUE"""),45299.66666666667)</f>
        <v>45299.66667</v>
      </c>
      <c r="B1185" s="2">
        <f>IFERROR(__xludf.DUMMYFUNCTION("""COMPUTED_VALUE"""),240.45)</f>
        <v>240.45</v>
      </c>
      <c r="C1185" s="3">
        <v>228.269355488373</v>
      </c>
    </row>
    <row r="1186">
      <c r="A1186" s="1">
        <f>IFERROR(__xludf.DUMMYFUNCTION("""COMPUTED_VALUE"""),45300.66666666667)</f>
        <v>45300.66667</v>
      </c>
      <c r="B1186" s="2">
        <f>IFERROR(__xludf.DUMMYFUNCTION("""COMPUTED_VALUE"""),234.96)</f>
        <v>234.96</v>
      </c>
      <c r="C1186" s="3">
        <v>227.404491929182</v>
      </c>
    </row>
    <row r="1187">
      <c r="A1187" s="1">
        <f>IFERROR(__xludf.DUMMYFUNCTION("""COMPUTED_VALUE"""),45301.66666666667)</f>
        <v>45301.66667</v>
      </c>
      <c r="B1187" s="2">
        <f>IFERROR(__xludf.DUMMYFUNCTION("""COMPUTED_VALUE"""),233.94)</f>
        <v>233.94</v>
      </c>
      <c r="C1187" s="3">
        <v>227.678943305941</v>
      </c>
    </row>
    <row r="1188">
      <c r="A1188" s="1">
        <f>IFERROR(__xludf.DUMMYFUNCTION("""COMPUTED_VALUE"""),45302.66666666667)</f>
        <v>45302.66667</v>
      </c>
      <c r="B1188" s="2">
        <f>IFERROR(__xludf.DUMMYFUNCTION("""COMPUTED_VALUE"""),227.22)</f>
        <v>227.22</v>
      </c>
      <c r="C1188" s="3">
        <v>226.620226494672</v>
      </c>
    </row>
    <row r="1189">
      <c r="A1189" s="1">
        <f>IFERROR(__xludf.DUMMYFUNCTION("""COMPUTED_VALUE"""),45303.66666666667)</f>
        <v>45303.66667</v>
      </c>
      <c r="B1189" s="2">
        <f>IFERROR(__xludf.DUMMYFUNCTION("""COMPUTED_VALUE"""),218.89)</f>
        <v>218.89</v>
      </c>
      <c r="C1189" s="3">
        <v>225.745862229369</v>
      </c>
    </row>
    <row r="1190">
      <c r="A1190" s="1">
        <f>IFERROR(__xludf.DUMMYFUNCTION("""COMPUTED_VALUE"""),45307.66666666667)</f>
        <v>45307.66667</v>
      </c>
      <c r="B1190" s="2">
        <f>IFERROR(__xludf.DUMMYFUNCTION("""COMPUTED_VALUE"""),219.91)</f>
        <v>219.91</v>
      </c>
      <c r="C1190" s="3">
        <v>224.148420973753</v>
      </c>
    </row>
    <row r="1191">
      <c r="A1191" s="1">
        <f>IFERROR(__xludf.DUMMYFUNCTION("""COMPUTED_VALUE"""),45308.66666666667)</f>
        <v>45308.66667</v>
      </c>
      <c r="B1191" s="2">
        <f>IFERROR(__xludf.DUMMYFUNCTION("""COMPUTED_VALUE"""),215.55)</f>
        <v>215.55</v>
      </c>
      <c r="C1191" s="3">
        <v>223.656987747089</v>
      </c>
    </row>
    <row r="1192">
      <c r="A1192" s="1">
        <f>IFERROR(__xludf.DUMMYFUNCTION("""COMPUTED_VALUE"""),45309.66666666667)</f>
        <v>45309.66667</v>
      </c>
      <c r="B1192" s="2">
        <f>IFERROR(__xludf.DUMMYFUNCTION("""COMPUTED_VALUE"""),211.88)</f>
        <v>211.88</v>
      </c>
      <c r="C1192" s="3">
        <v>221.929631608777</v>
      </c>
    </row>
    <row r="1193">
      <c r="A1193" s="1">
        <f>IFERROR(__xludf.DUMMYFUNCTION("""COMPUTED_VALUE"""),45310.66666666667)</f>
        <v>45310.66667</v>
      </c>
      <c r="B1193" s="2">
        <f>IFERROR(__xludf.DUMMYFUNCTION("""COMPUTED_VALUE"""),212.19)</f>
        <v>212.19</v>
      </c>
      <c r="C1193" s="3">
        <v>220.503452598756</v>
      </c>
    </row>
    <row r="1194">
      <c r="A1194" s="1">
        <f>IFERROR(__xludf.DUMMYFUNCTION("""COMPUTED_VALUE"""),45313.66666666667)</f>
        <v>45313.66667</v>
      </c>
      <c r="B1194" s="2">
        <f>IFERROR(__xludf.DUMMYFUNCTION("""COMPUTED_VALUE"""),208.8)</f>
        <v>208.8</v>
      </c>
      <c r="C1194" s="3">
        <v>219.803334221463</v>
      </c>
    </row>
    <row r="1195">
      <c r="A1195" s="1">
        <f>IFERROR(__xludf.DUMMYFUNCTION("""COMPUTED_VALUE"""),45314.66666666667)</f>
        <v>45314.66667</v>
      </c>
      <c r="B1195" s="2">
        <f>IFERROR(__xludf.DUMMYFUNCTION("""COMPUTED_VALUE"""),209.14)</f>
        <v>209.14</v>
      </c>
      <c r="C1195" s="3">
        <v>218.139289389187</v>
      </c>
    </row>
    <row r="1196">
      <c r="A1196" s="1">
        <f>IFERROR(__xludf.DUMMYFUNCTION("""COMPUTED_VALUE"""),45315.66666666667)</f>
        <v>45315.66667</v>
      </c>
      <c r="B1196" s="2">
        <f>IFERROR(__xludf.DUMMYFUNCTION("""COMPUTED_VALUE"""),207.83)</f>
        <v>207.83</v>
      </c>
      <c r="C1196" s="3">
        <v>217.849024962831</v>
      </c>
    </row>
    <row r="1197">
      <c r="A1197" s="1">
        <f>IFERROR(__xludf.DUMMYFUNCTION("""COMPUTED_VALUE"""),45316.66666666667)</f>
        <v>45316.66667</v>
      </c>
      <c r="B1197" s="2">
        <f>IFERROR(__xludf.DUMMYFUNCTION("""COMPUTED_VALUE"""),182.63)</f>
        <v>182.63</v>
      </c>
      <c r="C1197" s="3">
        <v>216.477625820584</v>
      </c>
    </row>
    <row r="1198">
      <c r="A1198" s="1">
        <f>IFERROR(__xludf.DUMMYFUNCTION("""COMPUTED_VALUE"""),45317.66666666667)</f>
        <v>45317.66667</v>
      </c>
      <c r="B1198" s="2">
        <f>IFERROR(__xludf.DUMMYFUNCTION("""COMPUTED_VALUE"""),183.25)</f>
        <v>183.25</v>
      </c>
      <c r="C1198" s="3">
        <v>215.553154083306</v>
      </c>
    </row>
    <row r="1199">
      <c r="A1199" s="1">
        <f>IFERROR(__xludf.DUMMYFUNCTION("""COMPUTED_VALUE"""),45320.66666666667)</f>
        <v>45320.66667</v>
      </c>
      <c r="B1199" s="2">
        <f>IFERROR(__xludf.DUMMYFUNCTION("""COMPUTED_VALUE"""),190.93)</f>
        <v>190.93</v>
      </c>
      <c r="C1199" s="3">
        <v>217.080141572784</v>
      </c>
    </row>
    <row r="1200">
      <c r="A1200" s="1">
        <f>IFERROR(__xludf.DUMMYFUNCTION("""COMPUTED_VALUE"""),45321.66666666667)</f>
        <v>45321.66667</v>
      </c>
      <c r="B1200" s="2">
        <f>IFERROR(__xludf.DUMMYFUNCTION("""COMPUTED_VALUE"""),191.59)</f>
        <v>191.59</v>
      </c>
      <c r="C1200" s="3">
        <v>216.330306696824</v>
      </c>
    </row>
    <row r="1201">
      <c r="A1201" s="1">
        <f>IFERROR(__xludf.DUMMYFUNCTION("""COMPUTED_VALUE"""),45322.66666666667)</f>
        <v>45322.66667</v>
      </c>
      <c r="B1201" s="2">
        <f>IFERROR(__xludf.DUMMYFUNCTION("""COMPUTED_VALUE"""),187.29)</f>
        <v>187.29</v>
      </c>
      <c r="C1201" s="3">
        <v>216.998615552361</v>
      </c>
    </row>
    <row r="1202">
      <c r="A1202" s="1">
        <f>IFERROR(__xludf.DUMMYFUNCTION("""COMPUTED_VALUE"""),45323.66666666667)</f>
        <v>45323.66667</v>
      </c>
      <c r="B1202" s="2">
        <f>IFERROR(__xludf.DUMMYFUNCTION("""COMPUTED_VALUE"""),188.86)</f>
        <v>188.86</v>
      </c>
      <c r="C1202" s="3">
        <v>216.602273144831</v>
      </c>
    </row>
    <row r="1203">
      <c r="A1203" s="1">
        <f>IFERROR(__xludf.DUMMYFUNCTION("""COMPUTED_VALUE"""),45324.66666666667)</f>
        <v>45324.66667</v>
      </c>
      <c r="B1203" s="2">
        <f>IFERROR(__xludf.DUMMYFUNCTION("""COMPUTED_VALUE"""),187.91)</f>
        <v>187.91</v>
      </c>
      <c r="C1203" s="3">
        <v>216.64051136471</v>
      </c>
    </row>
    <row r="1204">
      <c r="A1204" s="1">
        <f>IFERROR(__xludf.DUMMYFUNCTION("""COMPUTED_VALUE"""),45327.66666666667)</f>
        <v>45327.66667</v>
      </c>
      <c r="B1204" s="2">
        <f>IFERROR(__xludf.DUMMYFUNCTION("""COMPUTED_VALUE"""),181.06)</f>
        <v>181.06</v>
      </c>
      <c r="C1204" s="3">
        <v>220.695338189602</v>
      </c>
    </row>
    <row r="1205">
      <c r="A1205" s="1">
        <f>IFERROR(__xludf.DUMMYFUNCTION("""COMPUTED_VALUE"""),45328.66666666667)</f>
        <v>45328.66667</v>
      </c>
      <c r="B1205" s="2">
        <f>IFERROR(__xludf.DUMMYFUNCTION("""COMPUTED_VALUE"""),185.1)</f>
        <v>185.1</v>
      </c>
      <c r="C1205" s="3">
        <v>220.578763379431</v>
      </c>
    </row>
    <row r="1206">
      <c r="A1206" s="1">
        <f>IFERROR(__xludf.DUMMYFUNCTION("""COMPUTED_VALUE"""),45329.66666666667)</f>
        <v>45329.66667</v>
      </c>
      <c r="B1206" s="2">
        <f>IFERROR(__xludf.DUMMYFUNCTION("""COMPUTED_VALUE"""),187.58)</f>
        <v>187.58</v>
      </c>
      <c r="C1206" s="3">
        <v>221.736699372987</v>
      </c>
    </row>
    <row r="1207">
      <c r="A1207" s="1">
        <f>IFERROR(__xludf.DUMMYFUNCTION("""COMPUTED_VALUE"""),45330.66666666667)</f>
        <v>45330.66667</v>
      </c>
      <c r="B1207" s="2">
        <f>IFERROR(__xludf.DUMMYFUNCTION("""COMPUTED_VALUE"""),189.56)</f>
        <v>189.56</v>
      </c>
      <c r="C1207" s="3">
        <v>221.667790081534</v>
      </c>
    </row>
    <row r="1208">
      <c r="A1208" s="1">
        <f>IFERROR(__xludf.DUMMYFUNCTION("""COMPUTED_VALUE"""),45331.66666666667)</f>
        <v>45331.66667</v>
      </c>
      <c r="B1208" s="2">
        <f>IFERROR(__xludf.DUMMYFUNCTION("""COMPUTED_VALUE"""),193.57)</f>
        <v>193.57</v>
      </c>
      <c r="C1208" s="3">
        <v>221.856710416382</v>
      </c>
    </row>
    <row r="1209">
      <c r="A1209" s="1">
        <f>IFERROR(__xludf.DUMMYFUNCTION("""COMPUTED_VALUE"""),45334.66666666667)</f>
        <v>45334.66667</v>
      </c>
      <c r="B1209" s="2">
        <f>IFERROR(__xludf.DUMMYFUNCTION("""COMPUTED_VALUE"""),188.13)</f>
        <v>188.13</v>
      </c>
      <c r="C1209" s="3">
        <v>225.225944914002</v>
      </c>
    </row>
    <row r="1210">
      <c r="A1210" s="1">
        <f>IFERROR(__xludf.DUMMYFUNCTION("""COMPUTED_VALUE"""),45335.66666666667)</f>
        <v>45335.66667</v>
      </c>
      <c r="B1210" s="2">
        <f>IFERROR(__xludf.DUMMYFUNCTION("""COMPUTED_VALUE"""),184.02)</f>
        <v>184.02</v>
      </c>
      <c r="C1210" s="3">
        <v>224.500401891235</v>
      </c>
    </row>
    <row r="1211">
      <c r="A1211" s="1">
        <f>IFERROR(__xludf.DUMMYFUNCTION("""COMPUTED_VALUE"""),45336.66666666667)</f>
        <v>45336.66667</v>
      </c>
      <c r="B1211" s="2">
        <f>IFERROR(__xludf.DUMMYFUNCTION("""COMPUTED_VALUE"""),188.71)</f>
        <v>188.71</v>
      </c>
      <c r="C1211" s="3">
        <v>224.871019310733</v>
      </c>
    </row>
    <row r="1212">
      <c r="A1212" s="1">
        <f>IFERROR(__xludf.DUMMYFUNCTION("""COMPUTED_VALUE"""),45337.66666666667)</f>
        <v>45337.66667</v>
      </c>
      <c r="B1212" s="2">
        <f>IFERROR(__xludf.DUMMYFUNCTION("""COMPUTED_VALUE"""),200.45)</f>
        <v>200.45</v>
      </c>
      <c r="C1212" s="3">
        <v>223.850824435139</v>
      </c>
    </row>
    <row r="1213">
      <c r="A1213" s="1">
        <f>IFERROR(__xludf.DUMMYFUNCTION("""COMPUTED_VALUE"""),45338.66666666667)</f>
        <v>45338.66667</v>
      </c>
      <c r="B1213" s="2">
        <f>IFERROR(__xludf.DUMMYFUNCTION("""COMPUTED_VALUE"""),199.95)</f>
        <v>199.95</v>
      </c>
      <c r="C1213" s="3">
        <v>222.943325493785</v>
      </c>
    </row>
    <row r="1214">
      <c r="A1214" s="1">
        <f>IFERROR(__xludf.DUMMYFUNCTION("""COMPUTED_VALUE"""),45342.66666666667)</f>
        <v>45342.66667</v>
      </c>
      <c r="B1214" s="2">
        <f>IFERROR(__xludf.DUMMYFUNCTION("""COMPUTED_VALUE"""),193.76)</f>
        <v>193.76</v>
      </c>
      <c r="C1214" s="3">
        <v>220.254838759031</v>
      </c>
    </row>
    <row r="1215">
      <c r="A1215" s="1">
        <f>IFERROR(__xludf.DUMMYFUNCTION("""COMPUTED_VALUE"""),45343.66666666667)</f>
        <v>45343.66667</v>
      </c>
      <c r="B1215" s="2">
        <f>IFERROR(__xludf.DUMMYFUNCTION("""COMPUTED_VALUE"""),194.77)</f>
        <v>194.77</v>
      </c>
      <c r="C1215" s="3">
        <v>219.205160080789</v>
      </c>
    </row>
    <row r="1216">
      <c r="A1216" s="1">
        <f>IFERROR(__xludf.DUMMYFUNCTION("""COMPUTED_VALUE"""),45344.66666666667)</f>
        <v>45344.66667</v>
      </c>
      <c r="B1216" s="2">
        <f>IFERROR(__xludf.DUMMYFUNCTION("""COMPUTED_VALUE"""),197.41)</f>
        <v>197.41</v>
      </c>
      <c r="C1216" s="3">
        <v>216.794641563629</v>
      </c>
    </row>
    <row r="1217">
      <c r="A1217" s="1">
        <f>IFERROR(__xludf.DUMMYFUNCTION("""COMPUTED_VALUE"""),45345.66666666667)</f>
        <v>45345.66667</v>
      </c>
      <c r="B1217" s="2">
        <f>IFERROR(__xludf.DUMMYFUNCTION("""COMPUTED_VALUE"""),191.97)</f>
        <v>191.97</v>
      </c>
      <c r="C1217" s="3">
        <v>214.559539395133</v>
      </c>
    </row>
    <row r="1218">
      <c r="A1218" s="1">
        <f>IFERROR(__xludf.DUMMYFUNCTION("""COMPUTED_VALUE"""),45348.66666666667)</f>
        <v>45348.66667</v>
      </c>
      <c r="B1218" s="2">
        <f>IFERROR(__xludf.DUMMYFUNCTION("""COMPUTED_VALUE"""),199.4)</f>
        <v>199.4</v>
      </c>
      <c r="C1218" s="3">
        <v>210.712995979119</v>
      </c>
    </row>
    <row r="1219">
      <c r="A1219" s="1">
        <f>IFERROR(__xludf.DUMMYFUNCTION("""COMPUTED_VALUE"""),45349.66666666667)</f>
        <v>45349.66667</v>
      </c>
      <c r="B1219" s="2">
        <f>IFERROR(__xludf.DUMMYFUNCTION("""COMPUTED_VALUE"""),199.73)</f>
        <v>199.73</v>
      </c>
      <c r="C1219" s="3">
        <v>207.786621523626</v>
      </c>
    </row>
    <row r="1220">
      <c r="A1220" s="1">
        <f>IFERROR(__xludf.DUMMYFUNCTION("""COMPUTED_VALUE"""),45350.66666666667)</f>
        <v>45350.66667</v>
      </c>
      <c r="B1220" s="2">
        <f>IFERROR(__xludf.DUMMYFUNCTION("""COMPUTED_VALUE"""),202.04)</f>
        <v>202.04</v>
      </c>
      <c r="C1220" s="3">
        <v>206.147639166436</v>
      </c>
    </row>
    <row r="1221">
      <c r="A1221" s="1">
        <f>IFERROR(__xludf.DUMMYFUNCTION("""COMPUTED_VALUE"""),45351.66666666667)</f>
        <v>45351.66667</v>
      </c>
      <c r="B1221" s="2">
        <f>IFERROR(__xludf.DUMMYFUNCTION("""COMPUTED_VALUE"""),201.88)</f>
        <v>201.88</v>
      </c>
      <c r="C1221" s="3">
        <v>203.357379232763</v>
      </c>
    </row>
    <row r="1222">
      <c r="A1222" s="1">
        <f>IFERROR(__xludf.DUMMYFUNCTION("""COMPUTED_VALUE"""),45352.66666666667)</f>
        <v>45352.66667</v>
      </c>
      <c r="B1222" s="2">
        <f>IFERROR(__xludf.DUMMYFUNCTION("""COMPUTED_VALUE"""),202.64)</f>
        <v>202.64</v>
      </c>
      <c r="C1222" s="3">
        <v>200.962514824982</v>
      </c>
    </row>
    <row r="1223">
      <c r="A1223" s="1">
        <f>IFERROR(__xludf.DUMMYFUNCTION("""COMPUTED_VALUE"""),45355.66666666667)</f>
        <v>45355.66667</v>
      </c>
      <c r="B1223" s="2">
        <f>IFERROR(__xludf.DUMMYFUNCTION("""COMPUTED_VALUE"""),188.14)</f>
        <v>188.14</v>
      </c>
      <c r="C1223" s="3">
        <v>197.98394647139</v>
      </c>
    </row>
    <row r="1224">
      <c r="A1224" s="1">
        <f>IFERROR(__xludf.DUMMYFUNCTION("""COMPUTED_VALUE"""),45356.66666666667)</f>
        <v>45356.66667</v>
      </c>
      <c r="B1224" s="2">
        <f>IFERROR(__xludf.DUMMYFUNCTION("""COMPUTED_VALUE"""),180.74)</f>
        <v>180.74</v>
      </c>
      <c r="C1224" s="3">
        <v>195.779260273349</v>
      </c>
    </row>
    <row r="1225">
      <c r="A1225" s="1">
        <f>IFERROR(__xludf.DUMMYFUNCTION("""COMPUTED_VALUE"""),45357.66666666667)</f>
        <v>45357.66667</v>
      </c>
      <c r="B1225" s="2">
        <f>IFERROR(__xludf.DUMMYFUNCTION("""COMPUTED_VALUE"""),176.54)</f>
        <v>176.54</v>
      </c>
      <c r="C1225" s="3">
        <v>195.057341746922</v>
      </c>
    </row>
    <row r="1226">
      <c r="A1226" s="1">
        <f>IFERROR(__xludf.DUMMYFUNCTION("""COMPUTED_VALUE"""),45358.66666666667)</f>
        <v>45358.66667</v>
      </c>
      <c r="B1226" s="2">
        <f>IFERROR(__xludf.DUMMYFUNCTION("""COMPUTED_VALUE"""),178.65)</f>
        <v>178.65</v>
      </c>
      <c r="C1226" s="3">
        <v>193.360212582311</v>
      </c>
    </row>
    <row r="1227">
      <c r="A1227" s="1">
        <f>IFERROR(__xludf.DUMMYFUNCTION("""COMPUTED_VALUE"""),45359.66666666667)</f>
        <v>45359.66667</v>
      </c>
      <c r="B1227" s="2">
        <f>IFERROR(__xludf.DUMMYFUNCTION("""COMPUTED_VALUE"""),175.34)</f>
        <v>175.34</v>
      </c>
      <c r="C1227" s="3">
        <v>192.211329391511</v>
      </c>
    </row>
    <row r="1228">
      <c r="A1228" s="1">
        <f>IFERROR(__xludf.DUMMYFUNCTION("""COMPUTED_VALUE"""),45362.66666666667)</f>
        <v>45362.66667</v>
      </c>
      <c r="B1228" s="2">
        <f>IFERROR(__xludf.DUMMYFUNCTION("""COMPUTED_VALUE"""),177.77)</f>
        <v>177.77</v>
      </c>
      <c r="C1228" s="3">
        <v>193.609974404192</v>
      </c>
    </row>
    <row r="1229">
      <c r="A1229" s="1">
        <f>IFERROR(__xludf.DUMMYFUNCTION("""COMPUTED_VALUE"""),45363.66666666667)</f>
        <v>45363.66667</v>
      </c>
      <c r="B1229" s="2">
        <f>IFERROR(__xludf.DUMMYFUNCTION("""COMPUTED_VALUE"""),177.54)</f>
        <v>177.54</v>
      </c>
      <c r="C1229" s="3">
        <v>192.974575127746</v>
      </c>
    </row>
    <row r="1230">
      <c r="A1230" s="1">
        <f>IFERROR(__xludf.DUMMYFUNCTION("""COMPUTED_VALUE"""),45364.66666666667)</f>
        <v>45364.66667</v>
      </c>
      <c r="B1230" s="2">
        <f>IFERROR(__xludf.DUMMYFUNCTION("""COMPUTED_VALUE"""),169.48)</f>
        <v>169.48</v>
      </c>
      <c r="C1230" s="3">
        <v>193.82316920986</v>
      </c>
    </row>
    <row r="1231">
      <c r="A1231" s="1">
        <f>IFERROR(__xludf.DUMMYFUNCTION("""COMPUTED_VALUE"""),45365.66666666667)</f>
        <v>45365.66667</v>
      </c>
      <c r="B1231" s="2">
        <f>IFERROR(__xludf.DUMMYFUNCTION("""COMPUTED_VALUE"""),162.5)</f>
        <v>162.5</v>
      </c>
      <c r="C1231" s="3">
        <v>193.665644181493</v>
      </c>
    </row>
    <row r="1232">
      <c r="A1232" s="1">
        <f>IFERROR(__xludf.DUMMYFUNCTION("""COMPUTED_VALUE"""),45366.66666666667)</f>
        <v>45366.66667</v>
      </c>
      <c r="B1232" s="2">
        <f>IFERROR(__xludf.DUMMYFUNCTION("""COMPUTED_VALUE"""),163.57)</f>
        <v>163.57</v>
      </c>
      <c r="C1232" s="3">
        <v>193.994544358927</v>
      </c>
    </row>
    <row r="1233">
      <c r="A1233" s="1">
        <f>IFERROR(__xludf.DUMMYFUNCTION("""COMPUTED_VALUE"""),45369.66666666667)</f>
        <v>45369.66667</v>
      </c>
      <c r="B1233" s="2">
        <f>IFERROR(__xludf.DUMMYFUNCTION("""COMPUTED_VALUE"""),173.8)</f>
        <v>173.8</v>
      </c>
      <c r="C1233" s="3">
        <v>199.179780876806</v>
      </c>
    </row>
    <row r="1234">
      <c r="A1234" s="1">
        <f>IFERROR(__xludf.DUMMYFUNCTION("""COMPUTED_VALUE"""),45370.66666666667)</f>
        <v>45370.66667</v>
      </c>
      <c r="B1234" s="2">
        <f>IFERROR(__xludf.DUMMYFUNCTION("""COMPUTED_VALUE"""),171.32)</f>
        <v>171.32</v>
      </c>
      <c r="C1234" s="3">
        <v>199.51448627816</v>
      </c>
    </row>
    <row r="1235">
      <c r="A1235" s="1">
        <f>IFERROR(__xludf.DUMMYFUNCTION("""COMPUTED_VALUE"""),45371.66666666667)</f>
        <v>45371.66667</v>
      </c>
      <c r="B1235" s="2">
        <f>IFERROR(__xludf.DUMMYFUNCTION("""COMPUTED_VALUE"""),175.66)</f>
        <v>175.66</v>
      </c>
      <c r="C1235" s="3">
        <v>201.158361608289</v>
      </c>
    </row>
    <row r="1236">
      <c r="A1236" s="1">
        <f>IFERROR(__xludf.DUMMYFUNCTION("""COMPUTED_VALUE"""),45372.66666666667)</f>
        <v>45372.66667</v>
      </c>
      <c r="B1236" s="2">
        <f>IFERROR(__xludf.DUMMYFUNCTION("""COMPUTED_VALUE"""),172.82)</f>
        <v>172.82</v>
      </c>
      <c r="C1236" s="3">
        <v>201.610475606597</v>
      </c>
    </row>
    <row r="1237">
      <c r="A1237" s="1">
        <f>IFERROR(__xludf.DUMMYFUNCTION("""COMPUTED_VALUE"""),45373.66666666667)</f>
        <v>45373.66667</v>
      </c>
      <c r="B1237" s="2">
        <f>IFERROR(__xludf.DUMMYFUNCTION("""COMPUTED_VALUE"""),170.83)</f>
        <v>170.83</v>
      </c>
      <c r="C1237" s="3">
        <v>202.357145102112</v>
      </c>
    </row>
    <row r="1238">
      <c r="A1238" s="1">
        <f>IFERROR(__xludf.DUMMYFUNCTION("""COMPUTED_VALUE"""),45376.66666666667)</f>
        <v>45376.66667</v>
      </c>
      <c r="B1238" s="2">
        <f>IFERROR(__xludf.DUMMYFUNCTION("""COMPUTED_VALUE"""),172.63)</f>
        <v>172.63</v>
      </c>
      <c r="C1238" s="3">
        <v>207.651229344807</v>
      </c>
    </row>
    <row r="1239">
      <c r="A1239" s="1">
        <f>IFERROR(__xludf.DUMMYFUNCTION("""COMPUTED_VALUE"""),45377.66666666667)</f>
        <v>45377.66667</v>
      </c>
      <c r="B1239" s="2">
        <f>IFERROR(__xludf.DUMMYFUNCTION("""COMPUTED_VALUE"""),177.67)</f>
        <v>177.67</v>
      </c>
      <c r="C1239" s="3">
        <v>207.664939680023</v>
      </c>
    </row>
    <row r="1240">
      <c r="A1240" s="1">
        <f>IFERROR(__xludf.DUMMYFUNCTION("""COMPUTED_VALUE"""),45378.66666666667)</f>
        <v>45378.66667</v>
      </c>
      <c r="B1240" s="2">
        <f>IFERROR(__xludf.DUMMYFUNCTION("""COMPUTED_VALUE"""),179.83)</f>
        <v>179.83</v>
      </c>
      <c r="C1240" s="3">
        <v>208.831218870793</v>
      </c>
    </row>
    <row r="1241">
      <c r="A1241" s="1">
        <f>IFERROR(__xludf.DUMMYFUNCTION("""COMPUTED_VALUE"""),45379.66666666667)</f>
        <v>45379.66667</v>
      </c>
      <c r="B1241" s="2">
        <f>IFERROR(__xludf.DUMMYFUNCTION("""COMPUTED_VALUE"""),175.79)</f>
        <v>175.79</v>
      </c>
      <c r="C1241" s="3">
        <v>208.667415807278</v>
      </c>
    </row>
    <row r="1242">
      <c r="A1242" s="1">
        <f>IFERROR(__xludf.DUMMYFUNCTION("""COMPUTED_VALUE"""),45383.66666666667)</f>
        <v>45383.66667</v>
      </c>
      <c r="B1242" s="2">
        <f>IFERROR(__xludf.DUMMYFUNCTION("""COMPUTED_VALUE"""),175.22)</f>
        <v>175.22</v>
      </c>
      <c r="C1242" s="3">
        <v>211.305224162953</v>
      </c>
    </row>
    <row r="1243">
      <c r="A1243" s="1">
        <f>IFERROR(__xludf.DUMMYFUNCTION("""COMPUTED_VALUE"""),45384.66666666667)</f>
        <v>45384.66667</v>
      </c>
      <c r="B1243" s="2">
        <f>IFERROR(__xludf.DUMMYFUNCTION("""COMPUTED_VALUE"""),166.63)</f>
        <v>166.63</v>
      </c>
      <c r="C1243" s="3">
        <v>210.354821174656</v>
      </c>
    </row>
    <row r="1244">
      <c r="A1244" s="1">
        <f>IFERROR(__xludf.DUMMYFUNCTION("""COMPUTED_VALUE"""),45385.66666666667)</f>
        <v>45385.66667</v>
      </c>
      <c r="B1244" s="2">
        <f>IFERROR(__xludf.DUMMYFUNCTION("""COMPUTED_VALUE"""),168.38)</f>
        <v>168.38</v>
      </c>
      <c r="C1244" s="3">
        <v>210.560623250855</v>
      </c>
    </row>
    <row r="1245">
      <c r="A1245" s="1">
        <f>IFERROR(__xludf.DUMMYFUNCTION("""COMPUTED_VALUE"""),45386.66666666667)</f>
        <v>45386.66667</v>
      </c>
      <c r="B1245" s="2">
        <f>IFERROR(__xludf.DUMMYFUNCTION("""COMPUTED_VALUE"""),171.11)</f>
        <v>171.11</v>
      </c>
      <c r="C1245" s="3">
        <v>209.462841069512</v>
      </c>
    </row>
    <row r="1246">
      <c r="A1246" s="1">
        <f>IFERROR(__xludf.DUMMYFUNCTION("""COMPUTED_VALUE"""),45387.66666666667)</f>
        <v>45387.66667</v>
      </c>
      <c r="B1246" s="2">
        <f>IFERROR(__xludf.DUMMYFUNCTION("""COMPUTED_VALUE"""),164.9)</f>
        <v>164.9</v>
      </c>
      <c r="C1246" s="3">
        <v>208.589659096136</v>
      </c>
    </row>
    <row r="1247">
      <c r="A1247" s="1">
        <f>IFERROR(__xludf.DUMMYFUNCTION("""COMPUTED_VALUE"""),45390.66666666667)</f>
        <v>45390.66667</v>
      </c>
      <c r="B1247" s="2">
        <f>IFERROR(__xludf.DUMMYFUNCTION("""COMPUTED_VALUE"""),172.98)</f>
        <v>172.98</v>
      </c>
      <c r="C1247" s="3">
        <v>209.010619276822</v>
      </c>
    </row>
    <row r="1248">
      <c r="A1248" s="1">
        <f>IFERROR(__xludf.DUMMYFUNCTION("""COMPUTED_VALUE"""),45391.66666666667)</f>
        <v>45391.66667</v>
      </c>
      <c r="B1248" s="2">
        <f>IFERROR(__xludf.DUMMYFUNCTION("""COMPUTED_VALUE"""),176.88)</f>
        <v>176.88</v>
      </c>
      <c r="C1248" s="3">
        <v>207.519385533332</v>
      </c>
    </row>
    <row r="1249">
      <c r="A1249" s="1">
        <f>IFERROR(__xludf.DUMMYFUNCTION("""COMPUTED_VALUE"""),45392.66666666667)</f>
        <v>45392.66667</v>
      </c>
      <c r="B1249" s="2">
        <f>IFERROR(__xludf.DUMMYFUNCTION("""COMPUTED_VALUE"""),171.76)</f>
        <v>171.76</v>
      </c>
      <c r="C1249" s="3">
        <v>207.293497470526</v>
      </c>
    </row>
    <row r="1250">
      <c r="A1250" s="1">
        <f>IFERROR(__xludf.DUMMYFUNCTION("""COMPUTED_VALUE"""),45393.66666666667)</f>
        <v>45393.66667</v>
      </c>
      <c r="B1250" s="2">
        <f>IFERROR(__xludf.DUMMYFUNCTION("""COMPUTED_VALUE"""),174.6)</f>
        <v>174.6</v>
      </c>
      <c r="C1250" s="3">
        <v>205.87521636296</v>
      </c>
    </row>
    <row r="1251">
      <c r="A1251" s="1">
        <f>IFERROR(__xludf.DUMMYFUNCTION("""COMPUTED_VALUE"""),45394.66666666667)</f>
        <v>45394.66667</v>
      </c>
      <c r="B1251" s="2">
        <f>IFERROR(__xludf.DUMMYFUNCTION("""COMPUTED_VALUE"""),171.05)</f>
        <v>171.05</v>
      </c>
      <c r="C1251" s="3">
        <v>204.791276828038</v>
      </c>
    </row>
    <row r="1252">
      <c r="A1252" s="1">
        <f>IFERROR(__xludf.DUMMYFUNCTION("""COMPUTED_VALUE"""),45397.66666666667)</f>
        <v>45397.66667</v>
      </c>
      <c r="B1252" s="2">
        <f>IFERROR(__xludf.DUMMYFUNCTION("""COMPUTED_VALUE"""),161.48)</f>
        <v>161.48</v>
      </c>
      <c r="C1252" s="3">
        <v>205.175679711949</v>
      </c>
    </row>
    <row r="1253">
      <c r="A1253" s="1">
        <f>IFERROR(__xludf.DUMMYFUNCTION("""COMPUTED_VALUE"""),45398.66666666667)</f>
        <v>45398.66667</v>
      </c>
      <c r="B1253" s="2">
        <f>IFERROR(__xludf.DUMMYFUNCTION("""COMPUTED_VALUE"""),157.11)</f>
        <v>157.11</v>
      </c>
      <c r="C1253" s="3">
        <v>203.836082242123</v>
      </c>
    </row>
    <row r="1254">
      <c r="A1254" s="1">
        <f>IFERROR(__xludf.DUMMYFUNCTION("""COMPUTED_VALUE"""),45399.66666666667)</f>
        <v>45399.66667</v>
      </c>
      <c r="B1254" s="2">
        <f>IFERROR(__xludf.DUMMYFUNCTION("""COMPUTED_VALUE"""),155.45)</f>
        <v>155.45</v>
      </c>
      <c r="C1254" s="3">
        <v>203.82090791418</v>
      </c>
    </row>
    <row r="1255">
      <c r="A1255" s="1">
        <f>IFERROR(__xludf.DUMMYFUNCTION("""COMPUTED_VALUE"""),45400.66666666667)</f>
        <v>45400.66667</v>
      </c>
      <c r="B1255" s="2">
        <f>IFERROR(__xludf.DUMMYFUNCTION("""COMPUTED_VALUE"""),149.93)</f>
        <v>149.93</v>
      </c>
      <c r="C1255" s="3">
        <v>202.656475220291</v>
      </c>
    </row>
    <row r="1256">
      <c r="A1256" s="1">
        <f>IFERROR(__xludf.DUMMYFUNCTION("""COMPUTED_VALUE"""),45401.66666666667)</f>
        <v>45401.66667</v>
      </c>
      <c r="B1256" s="2">
        <f>IFERROR(__xludf.DUMMYFUNCTION("""COMPUTED_VALUE"""),147.05)</f>
        <v>147.05</v>
      </c>
      <c r="C1256" s="3">
        <v>201.852836746212</v>
      </c>
    </row>
    <row r="1257">
      <c r="A1257" s="1">
        <f>IFERROR(__xludf.DUMMYFUNCTION("""COMPUTED_VALUE"""),45404.66666666667)</f>
        <v>45404.66667</v>
      </c>
      <c r="B1257" s="2">
        <f>IFERROR(__xludf.DUMMYFUNCTION("""COMPUTED_VALUE"""),142.05)</f>
        <v>142.05</v>
      </c>
      <c r="C1257" s="3">
        <v>203.070651348758</v>
      </c>
    </row>
    <row r="1258">
      <c r="A1258" s="1">
        <f>IFERROR(__xludf.DUMMYFUNCTION("""COMPUTED_VALUE"""),45405.66666666667)</f>
        <v>45405.66667</v>
      </c>
      <c r="B1258" s="2">
        <f>IFERROR(__xludf.DUMMYFUNCTION("""COMPUTED_VALUE"""),144.68)</f>
        <v>144.68</v>
      </c>
      <c r="C1258" s="3">
        <v>201.954918457449</v>
      </c>
    </row>
    <row r="1259">
      <c r="A1259" s="1">
        <f>IFERROR(__xludf.DUMMYFUNCTION("""COMPUTED_VALUE"""),45406.66666666667)</f>
        <v>45406.66667</v>
      </c>
      <c r="B1259" s="2">
        <f>IFERROR(__xludf.DUMMYFUNCTION("""COMPUTED_VALUE"""),162.13)</f>
        <v>162.13</v>
      </c>
      <c r="C1259" s="3">
        <v>202.114610514211</v>
      </c>
    </row>
    <row r="1260">
      <c r="A1260" s="1">
        <f>IFERROR(__xludf.DUMMYFUNCTION("""COMPUTED_VALUE"""),45407.66666666667)</f>
        <v>45407.66667</v>
      </c>
      <c r="B1260" s="2">
        <f>IFERROR(__xludf.DUMMYFUNCTION("""COMPUTED_VALUE"""),170.18)</f>
        <v>170.18</v>
      </c>
      <c r="C1260" s="3">
        <v>201.065922289932</v>
      </c>
    </row>
    <row r="1261">
      <c r="A1261" s="1"/>
      <c r="C1261" s="3">
        <v>200.311302150899</v>
      </c>
    </row>
    <row r="1262">
      <c r="A1262" s="1"/>
      <c r="C1262" s="3">
        <v>200.247138887525</v>
      </c>
    </row>
    <row r="1263">
      <c r="A1263" s="1"/>
      <c r="C1263" s="3">
        <v>199.92524443559</v>
      </c>
    </row>
    <row r="1264">
      <c r="A1264" s="1"/>
      <c r="C1264" s="3">
        <v>201.241556378008</v>
      </c>
    </row>
    <row r="1265">
      <c r="A1265" s="1"/>
      <c r="C1265" s="3">
        <v>199.888102721029</v>
      </c>
    </row>
    <row r="1266">
      <c r="A1266" s="1"/>
      <c r="C1266" s="3">
        <v>199.74768108437</v>
      </c>
    </row>
    <row r="1267">
      <c r="A1267" s="1"/>
      <c r="C1267" s="3">
        <v>198.345486017722</v>
      </c>
    </row>
    <row r="1268">
      <c r="A1268" s="1"/>
      <c r="C1268" s="3">
        <v>197.195168806787</v>
      </c>
    </row>
    <row r="1269">
      <c r="A1269" s="1"/>
      <c r="C1269" s="3">
        <v>196.706161249073</v>
      </c>
    </row>
    <row r="1270">
      <c r="A1270" s="1"/>
      <c r="C1270" s="3">
        <v>195.94474110492</v>
      </c>
    </row>
    <row r="1271">
      <c r="A1271" s="1"/>
      <c r="C1271" s="3">
        <v>196.822276159832</v>
      </c>
    </row>
    <row r="1272">
      <c r="A1272" s="1"/>
      <c r="C1272" s="3">
        <v>195.046703517913</v>
      </c>
    </row>
    <row r="1273">
      <c r="A1273" s="1"/>
      <c r="C1273" s="3">
        <v>194.51671104414</v>
      </c>
    </row>
    <row r="1274">
      <c r="A1274" s="1"/>
      <c r="C1274" s="3">
        <v>192.772869657039</v>
      </c>
    </row>
    <row r="1275">
      <c r="A1275" s="1"/>
      <c r="C1275" s="3">
        <v>191.343215592648</v>
      </c>
    </row>
    <row r="1276">
      <c r="A1276" s="1"/>
      <c r="C1276" s="3">
        <v>190.650128214634</v>
      </c>
    </row>
    <row r="1277">
      <c r="A1277" s="1"/>
      <c r="C1277" s="3">
        <v>189.770994100385</v>
      </c>
    </row>
    <row r="1278">
      <c r="A1278" s="1"/>
      <c r="C1278" s="3">
        <v>190.626105920614</v>
      </c>
    </row>
    <row r="1279">
      <c r="A1279" s="1"/>
      <c r="C1279" s="3">
        <v>188.929862545445</v>
      </c>
    </row>
    <row r="1280">
      <c r="A1280" s="1"/>
      <c r="C1280" s="3">
        <v>188.58474506814</v>
      </c>
    </row>
    <row r="1281">
      <c r="A1281" s="1"/>
      <c r="C1281" s="3">
        <v>187.13232297383</v>
      </c>
    </row>
    <row r="1282">
      <c r="A1282" s="1"/>
      <c r="C1282" s="3">
        <v>186.098792711942</v>
      </c>
    </row>
    <row r="1283">
      <c r="A1283" s="1"/>
      <c r="C1283" s="3">
        <v>185.901894928567</v>
      </c>
    </row>
    <row r="1284">
      <c r="A1284" s="1"/>
      <c r="C1284" s="3">
        <v>185.611699317578</v>
      </c>
    </row>
    <row r="1285">
      <c r="A1285" s="1"/>
      <c r="C1285" s="3">
        <v>187.138701461354</v>
      </c>
    </row>
    <row r="1286">
      <c r="A1286" s="1"/>
      <c r="C1286" s="3">
        <v>186.185291717055</v>
      </c>
    </row>
    <row r="1287">
      <c r="A1287" s="1"/>
      <c r="C1287" s="3">
        <v>186.640062441858</v>
      </c>
    </row>
    <row r="1288">
      <c r="A1288" s="1"/>
      <c r="C1288" s="3">
        <v>186.029197633487</v>
      </c>
    </row>
    <row r="1289">
      <c r="A1289" s="1"/>
      <c r="C1289" s="3">
        <v>185.862435656339</v>
      </c>
    </row>
    <row r="1290">
      <c r="A1290" s="1"/>
      <c r="C1290" s="3">
        <v>186.540438638906</v>
      </c>
    </row>
    <row r="1291">
      <c r="A1291" s="1"/>
      <c r="C1291" s="3">
        <v>187.116044132577</v>
      </c>
    </row>
    <row r="1292">
      <c r="A1292" s="1"/>
      <c r="C1292" s="4"/>
    </row>
    <row r="1293">
      <c r="A1293" s="1"/>
      <c r="C1293" s="4"/>
    </row>
    <row r="1294">
      <c r="A1294" s="1"/>
      <c r="C1294" s="4"/>
    </row>
    <row r="1295">
      <c r="A1295" s="1"/>
      <c r="C1295" s="4"/>
    </row>
    <row r="1296">
      <c r="A1296" s="1"/>
      <c r="C1296" s="4"/>
    </row>
    <row r="1297">
      <c r="A1297" s="1"/>
      <c r="C1297" s="4"/>
    </row>
    <row r="1298">
      <c r="A1298" s="1"/>
      <c r="C1298" s="4"/>
    </row>
    <row r="1299">
      <c r="A1299" s="1"/>
      <c r="C1299" s="4"/>
    </row>
    <row r="1300">
      <c r="A1300" s="1"/>
      <c r="C1300" s="4"/>
    </row>
    <row r="1301">
      <c r="A1301" s="1"/>
      <c r="C1301" s="4"/>
    </row>
    <row r="1302">
      <c r="A1302" s="1"/>
      <c r="C1302" s="4"/>
    </row>
    <row r="1303">
      <c r="A1303" s="1"/>
      <c r="C1303" s="4"/>
    </row>
    <row r="1304">
      <c r="A1304" s="1"/>
      <c r="C1304" s="4"/>
    </row>
    <row r="1305">
      <c r="A1305" s="1"/>
      <c r="C1305" s="4"/>
    </row>
    <row r="1306">
      <c r="A1306" s="1"/>
      <c r="C1306" s="4"/>
    </row>
    <row r="1307">
      <c r="A1307" s="1"/>
      <c r="C1307" s="4"/>
    </row>
    <row r="1308">
      <c r="A1308" s="1"/>
      <c r="C1308" s="4"/>
    </row>
    <row r="1309">
      <c r="A1309" s="1"/>
      <c r="C1309" s="4"/>
    </row>
    <row r="1310">
      <c r="A1310" s="1"/>
      <c r="C1310" s="4"/>
    </row>
    <row r="1311">
      <c r="A1311" s="1"/>
      <c r="C1311" s="4"/>
    </row>
    <row r="1312">
      <c r="A1312" s="1"/>
      <c r="C1312" s="4"/>
    </row>
    <row r="1313">
      <c r="A1313" s="1"/>
      <c r="C1313" s="4"/>
    </row>
    <row r="1314">
      <c r="A1314" s="1"/>
      <c r="C1314" s="4"/>
    </row>
    <row r="1315">
      <c r="A1315" s="1"/>
      <c r="C1315" s="4"/>
    </row>
    <row r="1316">
      <c r="A1316" s="1"/>
      <c r="C1316" s="4"/>
    </row>
    <row r="1317">
      <c r="A1317" s="1"/>
      <c r="C1317" s="4"/>
    </row>
    <row r="1318">
      <c r="A1318" s="1"/>
      <c r="C1318" s="4"/>
    </row>
    <row r="1319">
      <c r="A1319" s="1"/>
      <c r="C1319" s="4"/>
    </row>
    <row r="1320">
      <c r="A1320" s="1"/>
      <c r="C1320" s="4"/>
    </row>
    <row r="1321">
      <c r="A1321" s="1"/>
      <c r="C1321" s="4"/>
    </row>
    <row r="1322">
      <c r="A1322" s="1"/>
      <c r="C1322" s="4"/>
    </row>
    <row r="1323">
      <c r="A1323" s="1"/>
      <c r="C1323" s="4"/>
    </row>
    <row r="1324">
      <c r="A1324" s="1"/>
      <c r="C1324" s="4"/>
    </row>
    <row r="1325">
      <c r="A1325" s="1"/>
      <c r="C1325" s="4"/>
    </row>
    <row r="1326">
      <c r="A1326" s="1"/>
      <c r="C1326" s="4"/>
    </row>
    <row r="1327">
      <c r="A1327" s="1"/>
      <c r="C1327" s="4"/>
    </row>
    <row r="1328">
      <c r="A1328" s="1"/>
      <c r="C1328" s="4"/>
    </row>
    <row r="1329">
      <c r="A1329" s="1"/>
      <c r="C1329" s="4"/>
    </row>
    <row r="1330">
      <c r="A1330" s="1"/>
      <c r="C1330" s="4"/>
    </row>
    <row r="1331">
      <c r="A1331" s="1"/>
      <c r="C1331" s="4"/>
    </row>
    <row r="1332">
      <c r="A1332" s="1"/>
      <c r="C1332" s="4"/>
    </row>
    <row r="1333">
      <c r="A1333" s="1"/>
      <c r="C1333" s="4"/>
    </row>
    <row r="1334">
      <c r="A1334" s="1"/>
      <c r="C1334" s="4"/>
    </row>
    <row r="1335">
      <c r="A1335" s="1"/>
      <c r="C1335" s="4"/>
    </row>
    <row r="1336">
      <c r="A1336" s="1"/>
      <c r="C1336" s="4"/>
    </row>
    <row r="1337">
      <c r="A1337" s="1"/>
      <c r="C1337" s="4"/>
    </row>
    <row r="1338">
      <c r="A1338" s="1"/>
      <c r="C1338" s="4"/>
    </row>
    <row r="1339">
      <c r="A1339" s="1"/>
      <c r="C1339" s="4"/>
    </row>
    <row r="1340">
      <c r="A1340" s="1"/>
      <c r="C1340" s="4"/>
    </row>
    <row r="1341">
      <c r="A1341" s="1"/>
      <c r="C1341" s="4"/>
    </row>
    <row r="1342">
      <c r="A1342" s="1"/>
      <c r="C1342" s="4"/>
    </row>
    <row r="1343">
      <c r="A1343" s="1"/>
      <c r="C1343" s="4"/>
    </row>
    <row r="1344">
      <c r="A1344" s="1"/>
      <c r="C1344" s="4"/>
    </row>
    <row r="1345">
      <c r="A1345" s="1"/>
      <c r="C1345" s="4"/>
    </row>
    <row r="1346">
      <c r="A1346" s="1"/>
      <c r="C1346" s="4"/>
    </row>
    <row r="1347">
      <c r="A1347" s="1"/>
      <c r="C1347" s="4"/>
    </row>
    <row r="1348">
      <c r="A1348" s="1"/>
      <c r="C1348" s="4"/>
    </row>
    <row r="1349">
      <c r="A1349" s="1"/>
      <c r="C1349" s="4"/>
    </row>
    <row r="1350">
      <c r="A1350" s="1"/>
      <c r="C1350" s="4"/>
    </row>
    <row r="1351">
      <c r="A1351" s="1"/>
      <c r="C1351" s="4"/>
    </row>
    <row r="1352">
      <c r="A1352" s="1"/>
      <c r="C1352" s="4"/>
    </row>
    <row r="1353">
      <c r="A1353" s="1"/>
      <c r="C1353" s="4"/>
    </row>
    <row r="1354">
      <c r="A1354" s="1"/>
      <c r="C1354" s="4"/>
    </row>
    <row r="1355">
      <c r="A1355" s="1"/>
      <c r="C1355" s="4"/>
    </row>
    <row r="1356">
      <c r="A1356" s="1"/>
      <c r="C1356" s="4"/>
    </row>
    <row r="1357">
      <c r="A1357" s="1"/>
      <c r="C1357" s="4"/>
    </row>
    <row r="1358">
      <c r="A1358" s="1"/>
      <c r="C1358" s="4"/>
    </row>
    <row r="1359">
      <c r="A1359" s="1"/>
      <c r="C1359" s="4"/>
    </row>
    <row r="1360">
      <c r="A1360" s="1"/>
      <c r="C1360" s="4"/>
    </row>
    <row r="1361">
      <c r="A1361" s="1"/>
      <c r="C1361" s="4"/>
    </row>
    <row r="1362">
      <c r="A1362" s="1"/>
      <c r="C1362" s="4"/>
    </row>
    <row r="1363">
      <c r="A1363" s="1"/>
      <c r="C1363" s="4"/>
    </row>
    <row r="1364">
      <c r="A1364" s="1"/>
      <c r="C1364" s="4"/>
    </row>
    <row r="1365">
      <c r="A1365" s="1"/>
      <c r="C1365" s="4"/>
    </row>
    <row r="1366">
      <c r="A1366" s="1"/>
      <c r="C1366" s="4"/>
    </row>
    <row r="1367">
      <c r="A1367" s="1"/>
      <c r="C1367" s="4"/>
    </row>
    <row r="1368">
      <c r="A1368" s="1"/>
      <c r="C1368" s="4"/>
    </row>
    <row r="1369">
      <c r="A1369" s="1"/>
      <c r="C1369" s="4"/>
    </row>
    <row r="1370">
      <c r="A1370" s="1"/>
      <c r="C1370" s="4"/>
    </row>
    <row r="1371">
      <c r="A1371" s="1"/>
      <c r="C1371" s="4"/>
    </row>
    <row r="1372">
      <c r="A1372" s="1"/>
      <c r="C1372" s="4"/>
    </row>
    <row r="1373">
      <c r="A1373" s="1"/>
      <c r="C1373" s="4"/>
    </row>
    <row r="1374">
      <c r="A1374" s="1"/>
      <c r="C1374" s="4"/>
    </row>
    <row r="1375">
      <c r="A1375" s="1"/>
      <c r="C1375" s="4"/>
    </row>
    <row r="1376">
      <c r="A1376" s="1"/>
      <c r="C1376" s="4"/>
    </row>
    <row r="1377">
      <c r="A1377" s="1"/>
      <c r="C1377" s="4"/>
    </row>
    <row r="1378">
      <c r="A1378" s="1"/>
      <c r="C1378" s="4"/>
    </row>
    <row r="1379">
      <c r="A1379" s="1"/>
      <c r="C1379" s="4"/>
    </row>
    <row r="1380">
      <c r="A1380" s="1"/>
      <c r="C1380" s="4"/>
    </row>
    <row r="1381">
      <c r="A1381" s="1"/>
      <c r="C1381" s="4"/>
    </row>
    <row r="1382">
      <c r="A1382" s="1"/>
      <c r="C1382" s="4"/>
    </row>
    <row r="1383">
      <c r="A1383" s="1"/>
      <c r="C1383" s="4"/>
    </row>
    <row r="1384">
      <c r="A1384" s="1"/>
      <c r="C1384" s="4"/>
    </row>
    <row r="1385">
      <c r="A1385" s="1"/>
      <c r="C1385" s="4"/>
    </row>
    <row r="1386">
      <c r="A1386" s="1"/>
      <c r="C1386" s="4"/>
    </row>
    <row r="1387">
      <c r="A1387" s="1"/>
      <c r="C1387" s="4"/>
    </row>
    <row r="1388">
      <c r="A1388" s="1"/>
      <c r="C1388" s="4"/>
    </row>
    <row r="1389">
      <c r="A1389" s="1"/>
      <c r="C1389" s="4"/>
    </row>
    <row r="1390">
      <c r="A1390" s="1"/>
      <c r="C1390" s="4"/>
    </row>
    <row r="1391">
      <c r="A1391" s="1"/>
      <c r="C1391" s="4"/>
    </row>
    <row r="1392">
      <c r="A1392" s="1"/>
      <c r="C1392" s="4"/>
    </row>
    <row r="1393">
      <c r="A1393" s="1"/>
      <c r="C1393" s="4"/>
    </row>
    <row r="1394">
      <c r="A1394" s="1"/>
      <c r="C1394" s="4"/>
    </row>
    <row r="1395">
      <c r="A1395" s="1"/>
      <c r="C1395" s="4"/>
    </row>
    <row r="1396">
      <c r="A1396" s="1"/>
      <c r="C1396" s="4"/>
    </row>
    <row r="1397">
      <c r="A1397" s="1"/>
      <c r="C1397" s="4"/>
    </row>
    <row r="1398">
      <c r="A1398" s="1"/>
      <c r="C1398" s="4"/>
    </row>
    <row r="1399">
      <c r="A1399" s="1"/>
      <c r="C1399" s="4"/>
    </row>
    <row r="1400">
      <c r="A1400" s="1"/>
      <c r="C1400" s="4"/>
    </row>
    <row r="1401">
      <c r="A1401" s="1"/>
      <c r="C1401" s="4"/>
    </row>
    <row r="1402">
      <c r="A1402" s="1"/>
      <c r="C1402" s="4"/>
    </row>
    <row r="1403">
      <c r="A1403" s="1"/>
      <c r="C1403" s="4"/>
    </row>
    <row r="1404">
      <c r="A1404" s="1"/>
      <c r="C1404" s="4"/>
    </row>
    <row r="1405">
      <c r="A1405" s="1"/>
      <c r="C1405" s="4"/>
    </row>
    <row r="1406">
      <c r="A1406" s="1"/>
      <c r="C1406" s="4"/>
    </row>
    <row r="1407">
      <c r="A1407" s="1"/>
      <c r="C1407" s="4"/>
    </row>
    <row r="1408">
      <c r="A1408" s="1"/>
      <c r="C1408" s="4"/>
    </row>
    <row r="1409">
      <c r="A1409" s="1"/>
      <c r="C1409" s="4"/>
    </row>
    <row r="1410">
      <c r="A1410" s="1"/>
      <c r="C1410" s="4"/>
    </row>
    <row r="1411">
      <c r="A1411" s="1"/>
      <c r="C1411" s="4"/>
    </row>
    <row r="1412">
      <c r="A1412" s="1"/>
      <c r="C1412" s="4"/>
    </row>
    <row r="1413">
      <c r="A1413" s="1"/>
      <c r="C1413" s="4"/>
    </row>
    <row r="1414">
      <c r="A1414" s="1"/>
      <c r="C1414" s="4"/>
    </row>
    <row r="1415">
      <c r="A1415" s="1"/>
      <c r="C1415" s="4"/>
    </row>
    <row r="1416">
      <c r="A1416" s="1"/>
      <c r="C1416" s="4"/>
    </row>
    <row r="1417">
      <c r="A1417" s="1"/>
      <c r="C1417" s="4"/>
    </row>
    <row r="1418">
      <c r="A1418" s="1"/>
      <c r="C1418" s="4"/>
    </row>
    <row r="1419">
      <c r="A1419" s="1"/>
      <c r="C1419" s="4"/>
    </row>
    <row r="1420">
      <c r="A1420" s="1"/>
      <c r="C1420" s="4"/>
    </row>
    <row r="1421">
      <c r="A1421" s="1"/>
      <c r="C1421" s="4"/>
    </row>
    <row r="1422">
      <c r="A1422" s="1"/>
      <c r="C1422" s="4"/>
    </row>
    <row r="1423">
      <c r="A1423" s="1"/>
      <c r="C1423" s="4"/>
    </row>
    <row r="1424">
      <c r="A1424" s="1"/>
      <c r="C1424" s="4"/>
    </row>
    <row r="1425">
      <c r="A1425" s="1"/>
      <c r="C1425" s="4"/>
    </row>
    <row r="1426">
      <c r="A1426" s="1"/>
      <c r="C1426" s="4"/>
    </row>
    <row r="1427">
      <c r="A1427" s="1"/>
      <c r="C1427" s="4"/>
    </row>
    <row r="1428">
      <c r="A1428" s="1"/>
      <c r="C1428" s="4"/>
    </row>
    <row r="1429">
      <c r="A1429" s="1"/>
      <c r="C1429" s="4"/>
    </row>
    <row r="1430">
      <c r="A1430" s="1"/>
      <c r="C1430" s="4"/>
    </row>
    <row r="1431">
      <c r="A1431" s="1"/>
      <c r="C1431" s="4"/>
    </row>
    <row r="1432">
      <c r="A1432" s="1"/>
      <c r="C1432" s="4"/>
    </row>
    <row r="1433">
      <c r="A1433" s="1"/>
      <c r="C1433" s="4"/>
    </row>
    <row r="1434">
      <c r="A1434" s="1"/>
      <c r="C1434" s="4"/>
    </row>
    <row r="1435">
      <c r="A1435" s="1"/>
      <c r="C1435" s="4"/>
    </row>
    <row r="1436">
      <c r="A1436" s="1"/>
      <c r="C1436" s="4"/>
    </row>
    <row r="1437">
      <c r="A1437" s="1"/>
      <c r="C1437" s="4"/>
    </row>
    <row r="1438">
      <c r="A1438" s="1"/>
      <c r="C1438" s="4"/>
    </row>
    <row r="1439">
      <c r="A1439" s="1"/>
      <c r="C1439" s="4"/>
    </row>
    <row r="1440">
      <c r="A1440" s="1"/>
      <c r="C1440" s="4"/>
    </row>
    <row r="1441">
      <c r="A1441" s="1"/>
      <c r="C1441" s="4"/>
    </row>
    <row r="1442">
      <c r="A1442" s="1"/>
      <c r="C1442" s="4"/>
    </row>
    <row r="1443">
      <c r="A1443" s="1"/>
      <c r="C1443" s="4"/>
    </row>
    <row r="1444">
      <c r="A1444" s="1"/>
      <c r="C1444" s="4"/>
    </row>
    <row r="1445">
      <c r="A1445" s="1"/>
      <c r="C1445" s="4"/>
    </row>
    <row r="1446">
      <c r="A1446" s="1"/>
      <c r="C1446" s="4"/>
    </row>
    <row r="1447">
      <c r="A1447" s="1"/>
      <c r="C1447" s="4"/>
    </row>
    <row r="1448">
      <c r="A1448" s="1"/>
      <c r="C1448" s="4"/>
    </row>
    <row r="1449">
      <c r="A1449" s="1"/>
      <c r="C1449" s="4"/>
    </row>
    <row r="1450">
      <c r="A1450" s="1"/>
      <c r="C1450" s="4"/>
    </row>
    <row r="1451">
      <c r="A1451" s="1"/>
      <c r="C1451" s="4"/>
    </row>
    <row r="1452">
      <c r="A1452" s="1"/>
      <c r="C1452" s="4"/>
    </row>
    <row r="1453">
      <c r="A1453" s="1"/>
      <c r="C1453" s="4"/>
    </row>
    <row r="1454">
      <c r="A1454" s="1"/>
      <c r="C1454" s="4"/>
    </row>
    <row r="1455">
      <c r="A1455" s="1"/>
      <c r="C1455" s="4"/>
    </row>
    <row r="1456">
      <c r="A1456" s="1"/>
      <c r="C1456" s="4"/>
    </row>
    <row r="1457">
      <c r="A1457" s="1"/>
      <c r="C1457" s="4"/>
    </row>
    <row r="1458">
      <c r="A1458" s="1"/>
      <c r="C1458" s="4"/>
    </row>
    <row r="1459">
      <c r="A1459" s="1"/>
      <c r="C1459" s="4"/>
    </row>
    <row r="1460">
      <c r="A1460" s="1"/>
      <c r="C1460" s="4"/>
    </row>
    <row r="1461">
      <c r="A1461" s="1"/>
      <c r="C1461" s="4"/>
    </row>
    <row r="1462">
      <c r="A1462" s="1"/>
      <c r="C1462" s="4"/>
    </row>
    <row r="1463">
      <c r="A1463" s="1"/>
      <c r="C1463" s="4"/>
    </row>
    <row r="1464">
      <c r="A1464" s="1"/>
      <c r="C1464" s="4"/>
    </row>
    <row r="1465">
      <c r="A1465" s="1"/>
      <c r="C1465" s="4"/>
    </row>
    <row r="1466">
      <c r="A1466" s="1"/>
      <c r="C1466" s="4"/>
    </row>
    <row r="1467">
      <c r="A1467" s="1"/>
      <c r="C1467" s="4"/>
    </row>
    <row r="1468">
      <c r="A1468" s="1"/>
      <c r="C1468" s="4"/>
    </row>
    <row r="1469">
      <c r="A1469" s="1"/>
      <c r="C1469" s="4"/>
    </row>
    <row r="1470">
      <c r="A1470" s="1"/>
      <c r="C1470" s="4"/>
    </row>
    <row r="1471">
      <c r="A1471" s="1"/>
      <c r="C1471" s="4"/>
    </row>
    <row r="1472">
      <c r="A1472" s="1"/>
      <c r="C1472" s="4"/>
    </row>
    <row r="1473">
      <c r="A1473" s="1"/>
      <c r="C1473" s="4"/>
    </row>
    <row r="1474">
      <c r="A1474" s="1"/>
      <c r="C1474" s="4"/>
    </row>
    <row r="1475">
      <c r="A1475" s="1"/>
      <c r="C1475" s="4"/>
    </row>
    <row r="1476">
      <c r="A1476" s="1"/>
      <c r="C1476" s="4"/>
    </row>
    <row r="1477">
      <c r="A1477" s="1"/>
      <c r="C1477" s="4"/>
    </row>
    <row r="1478">
      <c r="A1478" s="1"/>
      <c r="C1478" s="4"/>
    </row>
    <row r="1479">
      <c r="A1479" s="1"/>
      <c r="C1479" s="4"/>
    </row>
    <row r="1480">
      <c r="A1480" s="1"/>
      <c r="C1480" s="4"/>
    </row>
    <row r="1481">
      <c r="A1481" s="1"/>
      <c r="C1481" s="4"/>
    </row>
    <row r="1482">
      <c r="A1482" s="1"/>
      <c r="C1482" s="4"/>
    </row>
    <row r="1483">
      <c r="A1483" s="1"/>
      <c r="C1483" s="4"/>
    </row>
    <row r="1484">
      <c r="A1484" s="1"/>
      <c r="C1484" s="4"/>
    </row>
    <row r="1485">
      <c r="A1485" s="1"/>
      <c r="C1485" s="4"/>
    </row>
    <row r="1486">
      <c r="A1486" s="1"/>
      <c r="C1486" s="4"/>
    </row>
    <row r="1487">
      <c r="A1487" s="1"/>
      <c r="C1487" s="4"/>
    </row>
    <row r="1488">
      <c r="A1488" s="1"/>
      <c r="C1488" s="4"/>
    </row>
    <row r="1489">
      <c r="A1489" s="1"/>
      <c r="C1489" s="4"/>
    </row>
    <row r="1490">
      <c r="A1490" s="1"/>
      <c r="C1490" s="4"/>
    </row>
    <row r="1491">
      <c r="A1491" s="1"/>
      <c r="C1491" s="4"/>
    </row>
    <row r="1492">
      <c r="A1492" s="1"/>
      <c r="C1492" s="4"/>
    </row>
    <row r="1493">
      <c r="A1493" s="1"/>
      <c r="C1493" s="4"/>
    </row>
    <row r="1494">
      <c r="A1494" s="1"/>
      <c r="C1494" s="4"/>
    </row>
    <row r="1495">
      <c r="A1495" s="1"/>
      <c r="C1495" s="4"/>
    </row>
    <row r="1496">
      <c r="A1496" s="1"/>
      <c r="C1496" s="4"/>
    </row>
    <row r="1497">
      <c r="A1497" s="1"/>
      <c r="C1497" s="4"/>
    </row>
    <row r="1498">
      <c r="A1498" s="1"/>
      <c r="C1498" s="4"/>
    </row>
    <row r="1499">
      <c r="A1499" s="1"/>
      <c r="C1499" s="4"/>
    </row>
    <row r="1500">
      <c r="A1500" s="1"/>
      <c r="C1500" s="4"/>
    </row>
    <row r="1501">
      <c r="A1501" s="1"/>
      <c r="C1501" s="4"/>
    </row>
    <row r="1502">
      <c r="A1502" s="1"/>
      <c r="C1502" s="4"/>
    </row>
    <row r="1503">
      <c r="A1503" s="1"/>
      <c r="C1503" s="4"/>
    </row>
    <row r="1504">
      <c r="A1504" s="1"/>
      <c r="C1504" s="4"/>
    </row>
    <row r="1505">
      <c r="A1505" s="1"/>
      <c r="C1505" s="4"/>
    </row>
    <row r="1506">
      <c r="A1506" s="1"/>
      <c r="C1506" s="4"/>
    </row>
    <row r="1507">
      <c r="A1507" s="1"/>
      <c r="C1507" s="4"/>
    </row>
    <row r="1508">
      <c r="A1508" s="1"/>
      <c r="C1508" s="4"/>
    </row>
    <row r="1509">
      <c r="A1509" s="1"/>
      <c r="C1509" s="4"/>
    </row>
    <row r="1510">
      <c r="A1510" s="1"/>
      <c r="C1510" s="4"/>
    </row>
    <row r="1511">
      <c r="A1511" s="1"/>
      <c r="C1511" s="4"/>
    </row>
    <row r="1512">
      <c r="A1512" s="1"/>
      <c r="C1512" s="4"/>
    </row>
    <row r="1513">
      <c r="A1513" s="1"/>
      <c r="C1513" s="4"/>
    </row>
    <row r="1514">
      <c r="A1514" s="1"/>
      <c r="C1514" s="4"/>
    </row>
    <row r="1515">
      <c r="A1515" s="1"/>
      <c r="C1515" s="4"/>
    </row>
    <row r="1516">
      <c r="A1516" s="1"/>
      <c r="C1516" s="4"/>
    </row>
    <row r="1517">
      <c r="A1517" s="1"/>
      <c r="C1517" s="4"/>
    </row>
    <row r="1518">
      <c r="A1518" s="1"/>
      <c r="C1518" s="4"/>
    </row>
    <row r="1519">
      <c r="A1519" s="1"/>
      <c r="C1519" s="4"/>
    </row>
    <row r="1520">
      <c r="A1520" s="1"/>
      <c r="C1520" s="4"/>
    </row>
    <row r="1521">
      <c r="A1521" s="1"/>
      <c r="C1521" s="4"/>
    </row>
    <row r="1522">
      <c r="A1522" s="1"/>
      <c r="C1522" s="4"/>
    </row>
    <row r="1523">
      <c r="A1523" s="1"/>
      <c r="C1523" s="4"/>
    </row>
    <row r="1524">
      <c r="A1524" s="1"/>
      <c r="C1524" s="4"/>
    </row>
    <row r="1525">
      <c r="A1525" s="1"/>
      <c r="C1525" s="4"/>
    </row>
    <row r="1526">
      <c r="A1526" s="1"/>
      <c r="C1526" s="4"/>
    </row>
    <row r="1527">
      <c r="A1527" s="1"/>
      <c r="C1527" s="4"/>
    </row>
    <row r="1528">
      <c r="A1528" s="1"/>
      <c r="C1528" s="4"/>
    </row>
    <row r="1529">
      <c r="A1529" s="1"/>
      <c r="C1529" s="4"/>
    </row>
    <row r="1530">
      <c r="A1530" s="1"/>
      <c r="C1530" s="4"/>
    </row>
    <row r="1531">
      <c r="A1531" s="1"/>
      <c r="C1531" s="4"/>
    </row>
    <row r="1532">
      <c r="A1532" s="1"/>
      <c r="C1532" s="4"/>
    </row>
    <row r="1533">
      <c r="A1533" s="1"/>
      <c r="C1533" s="4"/>
    </row>
    <row r="1534">
      <c r="A1534" s="1"/>
      <c r="C1534" s="4"/>
    </row>
    <row r="1535">
      <c r="A1535" s="1"/>
      <c r="C1535" s="4"/>
    </row>
    <row r="1536">
      <c r="A1536" s="1"/>
      <c r="C1536" s="4"/>
    </row>
    <row r="1537">
      <c r="A1537" s="1"/>
      <c r="C1537" s="4"/>
    </row>
    <row r="1538">
      <c r="A1538" s="1"/>
      <c r="C1538" s="4"/>
    </row>
    <row r="1539">
      <c r="A1539" s="1"/>
      <c r="C1539" s="4"/>
    </row>
    <row r="1540">
      <c r="A1540" s="1"/>
      <c r="C1540" s="4"/>
    </row>
    <row r="1541">
      <c r="A1541" s="1"/>
      <c r="C1541" s="4"/>
    </row>
    <row r="1542">
      <c r="A1542" s="1"/>
      <c r="C1542" s="4"/>
    </row>
    <row r="1543">
      <c r="A1543" s="1"/>
      <c r="C1543" s="4"/>
    </row>
    <row r="1544">
      <c r="A1544" s="1"/>
      <c r="C1544" s="4"/>
    </row>
    <row r="1545">
      <c r="A1545" s="1"/>
      <c r="C1545" s="4"/>
    </row>
    <row r="1546">
      <c r="A1546" s="1"/>
      <c r="C1546" s="4"/>
    </row>
    <row r="1547">
      <c r="A1547" s="1"/>
      <c r="C1547" s="4"/>
    </row>
    <row r="1548">
      <c r="A1548" s="1"/>
      <c r="C1548" s="4"/>
    </row>
    <row r="1549">
      <c r="A1549" s="1"/>
      <c r="C1549" s="4"/>
    </row>
    <row r="1550">
      <c r="A1550" s="1"/>
      <c r="C1550" s="4"/>
    </row>
    <row r="1551">
      <c r="A1551" s="1"/>
      <c r="C1551" s="4"/>
    </row>
    <row r="1552">
      <c r="A1552" s="1"/>
      <c r="C1552" s="4"/>
    </row>
    <row r="1553">
      <c r="A1553" s="1"/>
      <c r="C1553" s="4"/>
    </row>
    <row r="1554">
      <c r="A1554" s="1"/>
      <c r="C1554" s="4"/>
    </row>
    <row r="1555">
      <c r="A1555" s="1"/>
      <c r="C1555" s="4"/>
    </row>
    <row r="1556">
      <c r="A1556" s="1"/>
      <c r="C1556" s="4"/>
    </row>
    <row r="1557">
      <c r="A1557" s="1"/>
      <c r="C1557" s="4"/>
    </row>
    <row r="1558">
      <c r="A1558" s="1"/>
      <c r="C1558" s="4"/>
    </row>
    <row r="1559">
      <c r="A1559" s="1"/>
      <c r="C1559" s="4"/>
    </row>
    <row r="1560">
      <c r="A1560" s="1"/>
      <c r="C1560" s="4"/>
    </row>
    <row r="1561">
      <c r="A1561" s="1"/>
      <c r="C1561" s="4"/>
    </row>
    <row r="1562">
      <c r="A1562" s="1"/>
      <c r="C1562" s="4"/>
    </row>
    <row r="1563">
      <c r="A1563" s="1"/>
      <c r="C1563" s="4"/>
    </row>
    <row r="1564">
      <c r="A1564" s="1"/>
      <c r="C1564" s="4"/>
    </row>
    <row r="1565">
      <c r="A1565" s="1"/>
      <c r="C1565" s="4"/>
    </row>
    <row r="1566">
      <c r="A1566" s="1"/>
      <c r="C1566" s="4"/>
    </row>
    <row r="1567">
      <c r="A1567" s="1"/>
      <c r="C1567" s="4"/>
    </row>
    <row r="1568">
      <c r="A1568" s="1"/>
      <c r="C1568" s="4"/>
    </row>
    <row r="1569">
      <c r="A1569" s="1"/>
      <c r="C1569" s="4"/>
    </row>
    <row r="1570">
      <c r="A1570" s="1"/>
      <c r="C1570" s="4"/>
    </row>
    <row r="1571">
      <c r="A1571" s="1"/>
      <c r="C1571" s="4"/>
    </row>
    <row r="1572">
      <c r="A1572" s="1"/>
      <c r="C1572" s="4"/>
    </row>
    <row r="1573">
      <c r="A1573" s="1"/>
      <c r="C1573" s="4"/>
    </row>
    <row r="1574">
      <c r="A1574" s="1"/>
      <c r="C1574" s="4"/>
    </row>
    <row r="1575">
      <c r="A1575" s="1"/>
      <c r="C1575" s="4"/>
    </row>
    <row r="1576">
      <c r="A1576" s="1"/>
      <c r="C1576" s="4"/>
    </row>
    <row r="1577">
      <c r="A1577" s="1"/>
      <c r="C1577" s="4"/>
    </row>
    <row r="1578">
      <c r="A1578" s="1"/>
      <c r="C1578" s="4"/>
    </row>
    <row r="1579">
      <c r="A1579" s="1"/>
      <c r="C1579" s="4"/>
    </row>
    <row r="1580">
      <c r="A1580" s="1"/>
      <c r="C1580" s="4"/>
    </row>
    <row r="1581">
      <c r="A1581" s="1"/>
      <c r="C1581" s="4"/>
    </row>
    <row r="1582">
      <c r="A1582" s="1"/>
      <c r="C1582" s="4"/>
    </row>
    <row r="1583">
      <c r="A1583" s="1"/>
      <c r="C1583" s="4"/>
    </row>
    <row r="1584">
      <c r="A1584" s="1"/>
      <c r="C1584" s="4"/>
    </row>
    <row r="1585">
      <c r="A1585" s="1"/>
      <c r="C1585" s="4"/>
    </row>
    <row r="1586">
      <c r="A1586" s="1"/>
      <c r="C1586" s="4"/>
    </row>
    <row r="1587">
      <c r="A1587" s="1"/>
      <c r="C1587" s="4"/>
    </row>
    <row r="1588">
      <c r="A1588" s="1"/>
      <c r="C1588" s="4"/>
    </row>
    <row r="1589">
      <c r="A1589" s="1"/>
      <c r="C1589" s="4"/>
    </row>
    <row r="1590">
      <c r="A1590" s="1"/>
      <c r="C1590" s="4"/>
    </row>
    <row r="1591">
      <c r="A1591" s="1"/>
      <c r="C1591" s="4"/>
    </row>
    <row r="1592">
      <c r="A1592" s="1"/>
      <c r="C1592" s="4"/>
    </row>
    <row r="1593">
      <c r="A1593" s="1"/>
      <c r="C1593" s="4"/>
    </row>
    <row r="1594">
      <c r="A1594" s="1"/>
      <c r="C1594" s="4"/>
    </row>
    <row r="1595">
      <c r="A1595" s="1"/>
      <c r="C1595" s="4"/>
    </row>
    <row r="1596">
      <c r="A1596" s="1"/>
      <c r="C1596" s="4"/>
    </row>
    <row r="1597">
      <c r="A1597" s="1"/>
      <c r="C1597" s="4"/>
    </row>
    <row r="1598">
      <c r="A1598" s="1"/>
      <c r="C1598" s="4"/>
    </row>
    <row r="1599">
      <c r="A1599" s="1"/>
      <c r="C1599" s="4"/>
    </row>
    <row r="1600">
      <c r="A1600" s="1"/>
      <c r="C1600" s="4"/>
    </row>
    <row r="1601">
      <c r="A1601" s="1"/>
      <c r="C1601" s="4"/>
    </row>
    <row r="1602">
      <c r="A1602" s="1"/>
      <c r="C1602" s="4"/>
    </row>
    <row r="1603">
      <c r="A1603" s="1"/>
      <c r="C1603" s="4"/>
    </row>
    <row r="1604">
      <c r="A1604" s="1"/>
      <c r="C1604" s="4"/>
    </row>
    <row r="1605">
      <c r="A1605" s="1"/>
      <c r="C1605" s="4"/>
    </row>
    <row r="1606">
      <c r="A1606" s="1"/>
      <c r="C1606" s="4"/>
    </row>
    <row r="1607">
      <c r="A1607" s="1"/>
      <c r="C1607" s="4"/>
    </row>
    <row r="1608">
      <c r="A1608" s="1"/>
      <c r="C1608" s="4"/>
    </row>
    <row r="1609">
      <c r="A1609" s="1"/>
      <c r="C1609" s="4"/>
    </row>
    <row r="1610">
      <c r="A1610" s="1"/>
      <c r="C1610" s="4"/>
    </row>
    <row r="1611">
      <c r="A1611" s="1"/>
      <c r="C1611" s="4"/>
    </row>
    <row r="1612">
      <c r="A1612" s="1"/>
      <c r="C1612" s="4"/>
    </row>
    <row r="1613">
      <c r="A1613" s="1"/>
      <c r="C1613" s="4"/>
    </row>
    <row r="1614">
      <c r="A1614" s="1"/>
      <c r="C1614" s="4"/>
    </row>
    <row r="1615">
      <c r="A1615" s="1"/>
      <c r="C1615" s="4"/>
    </row>
    <row r="1616">
      <c r="A1616" s="1"/>
      <c r="C1616" s="4"/>
    </row>
    <row r="1617">
      <c r="A1617" s="1"/>
      <c r="C1617" s="4"/>
    </row>
    <row r="1618">
      <c r="A1618" s="1"/>
      <c r="C1618" s="4"/>
    </row>
    <row r="1619">
      <c r="A1619" s="1"/>
      <c r="C1619" s="4"/>
    </row>
    <row r="1620">
      <c r="A1620" s="1"/>
      <c r="C1620" s="4"/>
    </row>
    <row r="1621">
      <c r="A1621" s="1"/>
      <c r="C1621" s="4"/>
    </row>
    <row r="1622">
      <c r="A1622" s="1"/>
      <c r="C1622" s="4"/>
    </row>
    <row r="1623">
      <c r="A1623" s="1"/>
      <c r="C1623" s="4"/>
    </row>
    <row r="1624">
      <c r="A1624" s="1"/>
      <c r="C1624" s="4"/>
    </row>
    <row r="1625">
      <c r="A1625" s="1"/>
      <c r="C1625" s="4"/>
    </row>
    <row r="1626">
      <c r="A1626" s="1"/>
      <c r="C1626" s="4"/>
    </row>
    <row r="1627">
      <c r="A1627" s="1"/>
      <c r="C1627" s="4"/>
    </row>
    <row r="1628">
      <c r="A1628" s="1"/>
      <c r="C1628" s="4"/>
    </row>
    <row r="1629">
      <c r="A1629" s="1"/>
      <c r="C1629" s="4"/>
    </row>
    <row r="1630">
      <c r="A1630" s="1"/>
      <c r="C1630" s="4"/>
    </row>
    <row r="1631">
      <c r="A1631" s="1"/>
      <c r="C1631" s="4"/>
    </row>
    <row r="1632">
      <c r="A1632" s="1"/>
      <c r="C1632" s="4"/>
    </row>
    <row r="1633">
      <c r="A1633" s="1"/>
      <c r="C1633" s="4"/>
    </row>
    <row r="1634">
      <c r="A1634" s="1"/>
      <c r="C1634" s="4"/>
    </row>
    <row r="1635">
      <c r="A1635" s="1"/>
      <c r="C1635" s="4"/>
    </row>
    <row r="1636">
      <c r="A1636" s="1"/>
      <c r="C1636" s="4"/>
    </row>
    <row r="1637">
      <c r="A1637" s="1"/>
      <c r="C1637" s="4"/>
    </row>
    <row r="1638">
      <c r="A1638" s="1"/>
      <c r="C1638" s="4"/>
    </row>
    <row r="1639">
      <c r="A1639" s="1"/>
      <c r="C1639" s="4"/>
    </row>
    <row r="1640">
      <c r="A1640" s="1"/>
      <c r="C1640" s="4"/>
    </row>
    <row r="1641">
      <c r="A1641" s="1"/>
      <c r="C1641" s="4"/>
    </row>
    <row r="1642">
      <c r="A1642" s="1"/>
      <c r="C1642" s="4"/>
    </row>
    <row r="1643">
      <c r="A1643" s="1"/>
      <c r="C1643" s="4"/>
    </row>
    <row r="1644">
      <c r="A1644" s="1"/>
      <c r="C1644" s="4"/>
    </row>
    <row r="1645">
      <c r="A1645" s="1"/>
      <c r="C1645" s="4"/>
    </row>
    <row r="1646">
      <c r="A1646" s="1"/>
      <c r="C1646" s="4"/>
    </row>
    <row r="1647">
      <c r="A1647" s="1"/>
      <c r="C1647" s="4"/>
    </row>
    <row r="1648">
      <c r="A1648" s="1"/>
      <c r="C1648" s="4"/>
    </row>
    <row r="1649">
      <c r="A1649" s="1"/>
      <c r="C1649" s="4"/>
    </row>
    <row r="1650">
      <c r="A1650" s="1"/>
      <c r="C1650" s="4"/>
    </row>
    <row r="1651">
      <c r="A1651" s="1"/>
      <c r="C1651" s="4"/>
    </row>
    <row r="1652">
      <c r="A1652" s="1"/>
      <c r="C1652" s="4"/>
    </row>
    <row r="1653">
      <c r="A1653" s="1"/>
      <c r="C1653" s="4"/>
    </row>
    <row r="1654">
      <c r="A1654" s="1"/>
      <c r="C1654" s="4"/>
    </row>
    <row r="1655">
      <c r="A1655" s="1"/>
      <c r="C1655" s="4"/>
    </row>
    <row r="1656">
      <c r="A1656" s="1"/>
      <c r="C1656" s="4"/>
    </row>
    <row r="1657">
      <c r="A1657" s="1"/>
      <c r="C1657" s="4"/>
    </row>
    <row r="1658">
      <c r="A1658" s="1"/>
      <c r="C1658" s="4"/>
    </row>
    <row r="1659">
      <c r="A1659" s="1"/>
      <c r="C1659" s="4"/>
    </row>
    <row r="1660">
      <c r="A1660" s="1"/>
      <c r="C1660" s="4"/>
    </row>
    <row r="1661">
      <c r="A1661" s="1"/>
      <c r="C1661" s="4"/>
    </row>
    <row r="1662">
      <c r="A1662" s="1"/>
      <c r="C1662" s="4"/>
    </row>
    <row r="1663">
      <c r="A1663" s="1"/>
      <c r="C1663" s="4"/>
    </row>
    <row r="1664">
      <c r="A1664" s="1"/>
      <c r="C1664" s="4"/>
    </row>
    <row r="1665">
      <c r="A1665" s="1"/>
      <c r="C1665" s="4"/>
    </row>
    <row r="1666">
      <c r="A1666" s="1"/>
      <c r="C1666" s="4"/>
    </row>
    <row r="1667">
      <c r="A1667" s="1"/>
      <c r="C1667" s="4"/>
    </row>
    <row r="1668">
      <c r="A1668" s="1"/>
      <c r="C1668" s="4"/>
    </row>
    <row r="1669">
      <c r="A1669" s="1"/>
      <c r="C1669" s="4"/>
    </row>
    <row r="1670">
      <c r="A1670" s="1"/>
      <c r="C1670" s="4"/>
    </row>
    <row r="1671">
      <c r="A1671" s="1"/>
      <c r="C1671" s="4"/>
    </row>
    <row r="1672">
      <c r="A1672" s="1"/>
      <c r="C1672" s="4"/>
    </row>
    <row r="1673">
      <c r="A1673" s="1"/>
      <c r="C1673" s="4"/>
    </row>
    <row r="1674">
      <c r="A1674" s="1"/>
      <c r="C1674" s="4"/>
    </row>
    <row r="1675">
      <c r="A1675" s="1"/>
      <c r="C1675" s="4"/>
    </row>
    <row r="1676">
      <c r="A1676" s="1"/>
      <c r="C1676" s="4"/>
    </row>
    <row r="1677">
      <c r="A1677" s="1"/>
      <c r="C1677" s="4"/>
    </row>
    <row r="1678">
      <c r="A1678" s="1"/>
      <c r="C1678" s="4"/>
    </row>
    <row r="1679">
      <c r="A1679" s="1"/>
      <c r="C1679" s="4"/>
    </row>
    <row r="1680">
      <c r="A1680" s="1"/>
      <c r="C1680" s="4"/>
    </row>
    <row r="1681">
      <c r="A1681" s="1"/>
      <c r="C1681" s="4"/>
    </row>
    <row r="1682">
      <c r="A1682" s="1"/>
      <c r="C1682" s="4"/>
    </row>
    <row r="1683">
      <c r="A1683" s="1"/>
      <c r="C1683" s="4"/>
    </row>
    <row r="1684">
      <c r="A1684" s="1"/>
      <c r="C1684" s="4"/>
    </row>
    <row r="1685">
      <c r="A1685" s="1"/>
      <c r="C1685" s="4"/>
    </row>
    <row r="1686">
      <c r="A1686" s="1"/>
      <c r="C1686" s="4"/>
    </row>
    <row r="1687">
      <c r="A1687" s="1"/>
      <c r="C1687" s="4"/>
    </row>
    <row r="1688">
      <c r="A1688" s="1"/>
      <c r="C1688" s="4"/>
    </row>
    <row r="1689">
      <c r="A1689" s="1"/>
      <c r="C1689" s="4"/>
    </row>
    <row r="1690">
      <c r="A1690" s="1"/>
      <c r="C1690" s="4"/>
    </row>
    <row r="1691">
      <c r="A1691" s="1"/>
      <c r="C1691" s="4"/>
    </row>
    <row r="1692">
      <c r="A1692" s="1"/>
      <c r="C1692" s="4"/>
    </row>
    <row r="1693">
      <c r="A1693" s="1"/>
      <c r="C1693" s="4"/>
    </row>
    <row r="1694">
      <c r="A1694" s="1"/>
      <c r="C1694" s="4"/>
    </row>
    <row r="1695">
      <c r="A1695" s="1"/>
      <c r="C1695" s="4"/>
    </row>
    <row r="1696">
      <c r="A1696" s="1"/>
      <c r="C1696" s="4"/>
    </row>
    <row r="1697">
      <c r="A1697" s="1"/>
      <c r="C1697" s="4"/>
    </row>
    <row r="1698">
      <c r="A1698" s="1"/>
      <c r="C1698" s="4"/>
    </row>
    <row r="1699">
      <c r="A1699" s="1"/>
      <c r="C1699" s="4"/>
    </row>
    <row r="1700">
      <c r="A1700" s="1"/>
      <c r="C1700" s="4"/>
    </row>
    <row r="1701">
      <c r="A1701" s="1"/>
      <c r="C1701" s="4"/>
    </row>
    <row r="1702">
      <c r="A1702" s="1"/>
      <c r="C1702" s="4"/>
    </row>
    <row r="1703">
      <c r="A1703" s="1"/>
      <c r="C1703" s="4"/>
    </row>
    <row r="1704">
      <c r="A1704" s="1"/>
      <c r="C1704" s="4"/>
    </row>
    <row r="1705">
      <c r="A1705" s="1"/>
      <c r="C1705" s="4"/>
    </row>
    <row r="1706">
      <c r="A1706" s="1"/>
      <c r="C1706" s="4"/>
    </row>
    <row r="1707">
      <c r="A1707" s="1"/>
      <c r="C1707" s="4"/>
    </row>
    <row r="1708">
      <c r="A1708" s="1"/>
      <c r="C1708" s="4"/>
    </row>
    <row r="1709">
      <c r="A1709" s="1"/>
      <c r="C1709" s="4"/>
    </row>
    <row r="1710">
      <c r="A1710" s="1"/>
      <c r="C1710" s="4"/>
    </row>
    <row r="1711">
      <c r="A1711" s="1"/>
      <c r="C1711" s="4"/>
    </row>
    <row r="1712">
      <c r="A1712" s="1"/>
      <c r="C1712" s="4"/>
    </row>
    <row r="1713">
      <c r="A1713" s="1"/>
      <c r="C1713" s="4"/>
    </row>
    <row r="1714">
      <c r="A1714" s="1"/>
      <c r="C1714" s="4"/>
    </row>
    <row r="1715">
      <c r="A1715" s="1"/>
      <c r="C1715" s="4"/>
    </row>
    <row r="1716">
      <c r="A1716" s="1"/>
      <c r="C1716" s="4"/>
    </row>
    <row r="1717">
      <c r="A1717" s="1"/>
      <c r="C1717" s="4"/>
    </row>
    <row r="1718">
      <c r="A1718" s="1"/>
      <c r="C1718" s="4"/>
    </row>
    <row r="1719">
      <c r="A1719" s="1"/>
      <c r="C1719" s="4"/>
    </row>
    <row r="1720">
      <c r="A1720" s="1"/>
      <c r="C1720" s="4"/>
    </row>
    <row r="1721">
      <c r="A1721" s="1"/>
      <c r="C1721" s="4"/>
    </row>
    <row r="1722">
      <c r="A1722" s="1"/>
      <c r="C1722" s="4"/>
    </row>
    <row r="1723">
      <c r="A1723" s="1"/>
      <c r="C1723" s="4"/>
    </row>
    <row r="1724">
      <c r="A1724" s="1"/>
      <c r="C1724" s="4"/>
    </row>
    <row r="1725">
      <c r="A1725" s="1"/>
      <c r="C1725" s="4"/>
    </row>
    <row r="1726">
      <c r="A1726" s="1"/>
      <c r="C1726" s="4"/>
    </row>
    <row r="1727">
      <c r="A1727" s="1"/>
      <c r="C1727" s="4"/>
    </row>
    <row r="1728">
      <c r="A1728" s="1"/>
      <c r="C1728" s="4"/>
    </row>
    <row r="1729">
      <c r="A1729" s="1"/>
      <c r="C1729" s="4"/>
    </row>
    <row r="1730">
      <c r="A1730" s="1"/>
      <c r="C1730" s="4"/>
    </row>
    <row r="1731">
      <c r="A1731" s="1"/>
      <c r="C1731" s="4"/>
    </row>
    <row r="1732">
      <c r="A1732" s="1"/>
      <c r="C1732" s="4"/>
    </row>
    <row r="1733">
      <c r="A1733" s="1"/>
      <c r="C1733" s="4"/>
    </row>
    <row r="1734">
      <c r="A1734" s="1"/>
      <c r="C1734" s="4"/>
    </row>
    <row r="1735">
      <c r="A1735" s="1"/>
      <c r="C1735" s="4"/>
    </row>
    <row r="1736">
      <c r="A1736" s="1"/>
      <c r="C1736" s="4"/>
    </row>
    <row r="1737">
      <c r="A1737" s="1"/>
      <c r="C1737" s="4"/>
    </row>
    <row r="1738">
      <c r="A1738" s="1"/>
      <c r="C1738" s="4"/>
    </row>
    <row r="1739">
      <c r="A1739" s="1"/>
      <c r="C1739" s="4"/>
    </row>
    <row r="1740">
      <c r="A1740" s="1"/>
      <c r="C1740" s="4"/>
    </row>
    <row r="1741">
      <c r="A1741" s="1"/>
      <c r="C1741" s="4"/>
    </row>
    <row r="1742">
      <c r="A1742" s="1"/>
      <c r="C1742" s="4"/>
    </row>
    <row r="1743">
      <c r="A1743" s="1"/>
      <c r="C1743" s="4"/>
    </row>
    <row r="1744">
      <c r="A1744" s="1"/>
      <c r="C1744" s="4"/>
    </row>
    <row r="1745">
      <c r="A1745" s="1"/>
      <c r="C1745" s="4"/>
    </row>
    <row r="1746">
      <c r="A1746" s="1"/>
      <c r="C1746" s="4"/>
    </row>
    <row r="1747">
      <c r="A1747" s="1"/>
      <c r="C1747" s="4"/>
    </row>
    <row r="1748">
      <c r="A1748" s="1"/>
      <c r="C1748" s="4"/>
    </row>
    <row r="1749">
      <c r="A1749" s="1"/>
      <c r="C1749" s="4"/>
    </row>
    <row r="1750">
      <c r="A1750" s="1"/>
      <c r="C1750" s="4"/>
    </row>
    <row r="1751">
      <c r="A1751" s="1"/>
      <c r="C1751" s="4"/>
    </row>
    <row r="1752">
      <c r="A1752" s="1"/>
      <c r="C1752" s="4"/>
    </row>
    <row r="1753">
      <c r="A1753" s="1"/>
      <c r="C1753" s="4"/>
    </row>
    <row r="1754">
      <c r="A1754" s="1"/>
      <c r="C1754" s="4"/>
    </row>
    <row r="1755">
      <c r="A1755" s="1"/>
      <c r="C1755" s="4"/>
    </row>
    <row r="1756">
      <c r="A1756" s="1"/>
      <c r="C1756" s="4"/>
    </row>
    <row r="1757">
      <c r="A1757" s="1"/>
      <c r="C1757" s="4"/>
    </row>
    <row r="1758">
      <c r="A1758" s="1"/>
      <c r="C1758" s="4"/>
    </row>
    <row r="1759">
      <c r="A1759" s="1"/>
      <c r="C1759" s="4"/>
    </row>
    <row r="1760">
      <c r="A1760" s="1"/>
      <c r="C176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0</v>
      </c>
    </row>
    <row r="2">
      <c r="A2" s="5">
        <v>0.0</v>
      </c>
      <c r="B2" s="6">
        <v>43581.0</v>
      </c>
      <c r="C2" s="5">
        <v>16.5969795384834</v>
      </c>
      <c r="D2" s="5">
        <v>-38.3925698540368</v>
      </c>
      <c r="E2" s="5">
        <v>40.9224513482238</v>
      </c>
      <c r="F2" s="5">
        <v>16.5969795384834</v>
      </c>
      <c r="G2" s="5">
        <v>16.5969795384834</v>
      </c>
      <c r="H2" s="5">
        <v>-14.3510607077786</v>
      </c>
      <c r="I2" s="5">
        <v>-14.3510607077786</v>
      </c>
      <c r="J2" s="5">
        <v>-14.3510607077786</v>
      </c>
      <c r="K2" s="5">
        <v>-0.739640081282211</v>
      </c>
      <c r="L2" s="5">
        <v>-0.739640081282211</v>
      </c>
      <c r="M2" s="5">
        <v>-0.739640081282211</v>
      </c>
      <c r="N2" s="5">
        <v>-13.6114206264964</v>
      </c>
      <c r="O2" s="5">
        <v>-13.6114206264964</v>
      </c>
      <c r="P2" s="5">
        <v>-13.6114206264964</v>
      </c>
      <c r="Q2" s="5">
        <v>0.0</v>
      </c>
      <c r="R2" s="5">
        <v>0.0</v>
      </c>
      <c r="S2" s="5">
        <v>0.0</v>
      </c>
      <c r="T2" s="5">
        <v>2.24591883070474</v>
      </c>
    </row>
    <row r="3">
      <c r="A3" s="5">
        <v>1.0</v>
      </c>
      <c r="B3" s="6">
        <v>43584.0</v>
      </c>
      <c r="C3" s="5">
        <v>16.6000657374497</v>
      </c>
      <c r="D3" s="5">
        <v>-38.801985835455</v>
      </c>
      <c r="E3" s="5">
        <v>45.293846360923</v>
      </c>
      <c r="F3" s="5">
        <v>16.6000657374497</v>
      </c>
      <c r="G3" s="5">
        <v>16.6000657374497</v>
      </c>
      <c r="H3" s="5">
        <v>-13.3678691064334</v>
      </c>
      <c r="I3" s="5">
        <v>-13.3678691064334</v>
      </c>
      <c r="J3" s="5">
        <v>-13.3678691064334</v>
      </c>
      <c r="K3" s="5">
        <v>1.16457933345034</v>
      </c>
      <c r="L3" s="5">
        <v>1.16457933345034</v>
      </c>
      <c r="M3" s="5">
        <v>1.16457933345034</v>
      </c>
      <c r="N3" s="5">
        <v>-14.5324484398837</v>
      </c>
      <c r="O3" s="5">
        <v>-14.5324484398837</v>
      </c>
      <c r="P3" s="5">
        <v>-14.5324484398837</v>
      </c>
      <c r="Q3" s="5">
        <v>0.0</v>
      </c>
      <c r="R3" s="5">
        <v>0.0</v>
      </c>
      <c r="S3" s="5">
        <v>0.0</v>
      </c>
      <c r="T3" s="5">
        <v>3.2321966310163</v>
      </c>
    </row>
    <row r="4">
      <c r="A4" s="5">
        <v>2.0</v>
      </c>
      <c r="B4" s="6">
        <v>43585.0</v>
      </c>
      <c r="C4" s="5">
        <v>16.6010944704384</v>
      </c>
      <c r="D4" s="5">
        <v>-40.8612442568847</v>
      </c>
      <c r="E4" s="5">
        <v>42.2866737896267</v>
      </c>
      <c r="F4" s="5">
        <v>16.6010944704384</v>
      </c>
      <c r="G4" s="5">
        <v>16.6010944704384</v>
      </c>
      <c r="H4" s="5">
        <v>-14.6924892944797</v>
      </c>
      <c r="I4" s="5">
        <v>-14.6924892944797</v>
      </c>
      <c r="J4" s="5">
        <v>-14.6924892944797</v>
      </c>
      <c r="K4" s="5">
        <v>0.247324772139564</v>
      </c>
      <c r="L4" s="5">
        <v>0.247324772139564</v>
      </c>
      <c r="M4" s="5">
        <v>0.247324772139564</v>
      </c>
      <c r="N4" s="5">
        <v>-14.9398140666193</v>
      </c>
      <c r="O4" s="5">
        <v>-14.9398140666193</v>
      </c>
      <c r="P4" s="5">
        <v>-14.9398140666193</v>
      </c>
      <c r="Q4" s="5">
        <v>0.0</v>
      </c>
      <c r="R4" s="5">
        <v>0.0</v>
      </c>
      <c r="S4" s="5">
        <v>0.0</v>
      </c>
      <c r="T4" s="5">
        <v>1.90860517595873</v>
      </c>
    </row>
    <row r="5">
      <c r="A5" s="5">
        <v>3.0</v>
      </c>
      <c r="B5" s="6">
        <v>43586.0</v>
      </c>
      <c r="C5" s="5">
        <v>16.6021232034272</v>
      </c>
      <c r="D5" s="5">
        <v>-38.8338930962653</v>
      </c>
      <c r="E5" s="5">
        <v>41.8672921541011</v>
      </c>
      <c r="F5" s="5">
        <v>16.6021232034272</v>
      </c>
      <c r="G5" s="5">
        <v>16.6021232034272</v>
      </c>
      <c r="H5" s="5">
        <v>-14.8008318932935</v>
      </c>
      <c r="I5" s="5">
        <v>-14.8008318932935</v>
      </c>
      <c r="J5" s="5">
        <v>-14.8008318932935</v>
      </c>
      <c r="K5" s="5">
        <v>0.608132553626941</v>
      </c>
      <c r="L5" s="5">
        <v>0.608132553626941</v>
      </c>
      <c r="M5" s="5">
        <v>0.608132553626941</v>
      </c>
      <c r="N5" s="5">
        <v>-15.4089644469204</v>
      </c>
      <c r="O5" s="5">
        <v>-15.4089644469204</v>
      </c>
      <c r="P5" s="5">
        <v>-15.4089644469204</v>
      </c>
      <c r="Q5" s="5">
        <v>0.0</v>
      </c>
      <c r="R5" s="5">
        <v>0.0</v>
      </c>
      <c r="S5" s="5">
        <v>0.0</v>
      </c>
      <c r="T5" s="5">
        <v>1.80129131013375</v>
      </c>
    </row>
    <row r="6">
      <c r="A6" s="5">
        <v>4.0</v>
      </c>
      <c r="B6" s="6">
        <v>43587.0</v>
      </c>
      <c r="C6" s="5">
        <v>16.603151936416</v>
      </c>
      <c r="D6" s="5">
        <v>-39.7307299006476</v>
      </c>
      <c r="E6" s="5">
        <v>41.1187371313788</v>
      </c>
      <c r="F6" s="5">
        <v>16.603151936416</v>
      </c>
      <c r="G6" s="5">
        <v>16.603151936416</v>
      </c>
      <c r="H6" s="5">
        <v>-16.1693728074564</v>
      </c>
      <c r="I6" s="5">
        <v>-16.1693728074564</v>
      </c>
      <c r="J6" s="5">
        <v>-16.1693728074564</v>
      </c>
      <c r="K6" s="5">
        <v>-0.225417905346387</v>
      </c>
      <c r="L6" s="5">
        <v>-0.225417905346387</v>
      </c>
      <c r="M6" s="5">
        <v>-0.225417905346387</v>
      </c>
      <c r="N6" s="5">
        <v>-15.94395490211</v>
      </c>
      <c r="O6" s="5">
        <v>-15.94395490211</v>
      </c>
      <c r="P6" s="5">
        <v>-15.94395490211</v>
      </c>
      <c r="Q6" s="5">
        <v>0.0</v>
      </c>
      <c r="R6" s="5">
        <v>0.0</v>
      </c>
      <c r="S6" s="5">
        <v>0.0</v>
      </c>
      <c r="T6" s="5">
        <v>0.433779128959617</v>
      </c>
    </row>
    <row r="7">
      <c r="A7" s="5">
        <v>5.0</v>
      </c>
      <c r="B7" s="6">
        <v>43588.0</v>
      </c>
      <c r="C7" s="5">
        <v>16.6041806694047</v>
      </c>
      <c r="D7" s="5">
        <v>-39.6503506802821</v>
      </c>
      <c r="E7" s="5">
        <v>38.9408336491619</v>
      </c>
      <c r="F7" s="5">
        <v>16.6041806694047</v>
      </c>
      <c r="G7" s="5">
        <v>16.6041806694047</v>
      </c>
      <c r="H7" s="5">
        <v>-17.2862338109052</v>
      </c>
      <c r="I7" s="5">
        <v>-17.2862338109052</v>
      </c>
      <c r="J7" s="5">
        <v>-17.2862338109052</v>
      </c>
      <c r="K7" s="5">
        <v>-0.739640081278904</v>
      </c>
      <c r="L7" s="5">
        <v>-0.739640081278904</v>
      </c>
      <c r="M7" s="5">
        <v>-0.739640081278904</v>
      </c>
      <c r="N7" s="5">
        <v>-16.5465937296263</v>
      </c>
      <c r="O7" s="5">
        <v>-16.5465937296263</v>
      </c>
      <c r="P7" s="5">
        <v>-16.5465937296263</v>
      </c>
      <c r="Q7" s="5">
        <v>0.0</v>
      </c>
      <c r="R7" s="5">
        <v>0.0</v>
      </c>
      <c r="S7" s="5">
        <v>0.0</v>
      </c>
      <c r="T7" s="5">
        <v>-0.682053141500464</v>
      </c>
    </row>
    <row r="8">
      <c r="A8" s="5">
        <v>6.0</v>
      </c>
      <c r="B8" s="6">
        <v>43591.0</v>
      </c>
      <c r="C8" s="5">
        <v>16.6072668683711</v>
      </c>
      <c r="D8" s="5">
        <v>-38.9612721326578</v>
      </c>
      <c r="E8" s="5">
        <v>39.0777311021117</v>
      </c>
      <c r="F8" s="5">
        <v>16.6072668683711</v>
      </c>
      <c r="G8" s="5">
        <v>16.6072668683711</v>
      </c>
      <c r="H8" s="5">
        <v>-17.5780407465698</v>
      </c>
      <c r="I8" s="5">
        <v>-17.5780407465698</v>
      </c>
      <c r="J8" s="5">
        <v>-17.5780407465698</v>
      </c>
      <c r="K8" s="5">
        <v>1.16457933345057</v>
      </c>
      <c r="L8" s="5">
        <v>1.16457933345057</v>
      </c>
      <c r="M8" s="5">
        <v>1.16457933345057</v>
      </c>
      <c r="N8" s="5">
        <v>-18.7426200800204</v>
      </c>
      <c r="O8" s="5">
        <v>-18.7426200800204</v>
      </c>
      <c r="P8" s="5">
        <v>-18.7426200800204</v>
      </c>
      <c r="Q8" s="5">
        <v>0.0</v>
      </c>
      <c r="R8" s="5">
        <v>0.0</v>
      </c>
      <c r="S8" s="5">
        <v>0.0</v>
      </c>
      <c r="T8" s="5">
        <v>-0.97077387819872</v>
      </c>
    </row>
    <row r="9">
      <c r="A9" s="5">
        <v>7.0</v>
      </c>
      <c r="B9" s="6">
        <v>43592.0</v>
      </c>
      <c r="C9" s="5">
        <v>16.6082956013598</v>
      </c>
      <c r="D9" s="5">
        <v>-41.4015145751793</v>
      </c>
      <c r="E9" s="5">
        <v>39.0422757380699</v>
      </c>
      <c r="F9" s="5">
        <v>16.6082956013598</v>
      </c>
      <c r="G9" s="5">
        <v>16.6082956013598</v>
      </c>
      <c r="H9" s="5">
        <v>-19.3387726262536</v>
      </c>
      <c r="I9" s="5">
        <v>-19.3387726262536</v>
      </c>
      <c r="J9" s="5">
        <v>-19.3387726262536</v>
      </c>
      <c r="K9" s="5">
        <v>0.247324772138229</v>
      </c>
      <c r="L9" s="5">
        <v>0.247324772138229</v>
      </c>
      <c r="M9" s="5">
        <v>0.247324772138229</v>
      </c>
      <c r="N9" s="5">
        <v>-19.5860973983918</v>
      </c>
      <c r="O9" s="5">
        <v>-19.5860973983918</v>
      </c>
      <c r="P9" s="5">
        <v>-19.5860973983918</v>
      </c>
      <c r="Q9" s="5">
        <v>0.0</v>
      </c>
      <c r="R9" s="5">
        <v>0.0</v>
      </c>
      <c r="S9" s="5">
        <v>0.0</v>
      </c>
      <c r="T9" s="5">
        <v>-2.73047702489376</v>
      </c>
    </row>
    <row r="10">
      <c r="A10" s="5">
        <v>8.0</v>
      </c>
      <c r="B10" s="6">
        <v>43593.0</v>
      </c>
      <c r="C10" s="5">
        <v>16.6093243343486</v>
      </c>
      <c r="D10" s="5">
        <v>-41.8163530066586</v>
      </c>
      <c r="E10" s="5">
        <v>41.4780075597853</v>
      </c>
      <c r="F10" s="5">
        <v>16.6093243343486</v>
      </c>
      <c r="G10" s="5">
        <v>16.6093243343486</v>
      </c>
      <c r="H10" s="5">
        <v>-19.8625751869409</v>
      </c>
      <c r="I10" s="5">
        <v>-19.8625751869409</v>
      </c>
      <c r="J10" s="5">
        <v>-19.8625751869409</v>
      </c>
      <c r="K10" s="5">
        <v>0.608132553626052</v>
      </c>
      <c r="L10" s="5">
        <v>0.608132553626052</v>
      </c>
      <c r="M10" s="5">
        <v>0.608132553626052</v>
      </c>
      <c r="N10" s="5">
        <v>-20.4707077405669</v>
      </c>
      <c r="O10" s="5">
        <v>-20.4707077405669</v>
      </c>
      <c r="P10" s="5">
        <v>-20.4707077405669</v>
      </c>
      <c r="Q10" s="5">
        <v>0.0</v>
      </c>
      <c r="R10" s="5">
        <v>0.0</v>
      </c>
      <c r="S10" s="5">
        <v>0.0</v>
      </c>
      <c r="T10" s="5">
        <v>-3.25325085259227</v>
      </c>
    </row>
    <row r="11">
      <c r="A11" s="5">
        <v>9.0</v>
      </c>
      <c r="B11" s="6">
        <v>43594.0</v>
      </c>
      <c r="C11" s="5">
        <v>16.6103530673374</v>
      </c>
      <c r="D11" s="5">
        <v>-46.7901558227665</v>
      </c>
      <c r="E11" s="5">
        <v>34.6104035737093</v>
      </c>
      <c r="F11" s="5">
        <v>16.6103530673374</v>
      </c>
      <c r="G11" s="5">
        <v>16.6103530673374</v>
      </c>
      <c r="H11" s="5">
        <v>-21.6101165828622</v>
      </c>
      <c r="I11" s="5">
        <v>-21.6101165828622</v>
      </c>
      <c r="J11" s="5">
        <v>-21.6101165828622</v>
      </c>
      <c r="K11" s="5">
        <v>-0.225417905348389</v>
      </c>
      <c r="L11" s="5">
        <v>-0.225417905348389</v>
      </c>
      <c r="M11" s="5">
        <v>-0.225417905348389</v>
      </c>
      <c r="N11" s="5">
        <v>-21.3846986775138</v>
      </c>
      <c r="O11" s="5">
        <v>-21.3846986775138</v>
      </c>
      <c r="P11" s="5">
        <v>-21.3846986775138</v>
      </c>
      <c r="Q11" s="5">
        <v>0.0</v>
      </c>
      <c r="R11" s="5">
        <v>0.0</v>
      </c>
      <c r="S11" s="5">
        <v>0.0</v>
      </c>
      <c r="T11" s="5">
        <v>-4.99976351552483</v>
      </c>
    </row>
    <row r="12">
      <c r="A12" s="5">
        <v>10.0</v>
      </c>
      <c r="B12" s="6">
        <v>43595.0</v>
      </c>
      <c r="C12" s="5">
        <v>16.6113818003261</v>
      </c>
      <c r="D12" s="5">
        <v>-46.9137474347702</v>
      </c>
      <c r="E12" s="5">
        <v>34.4816972810015</v>
      </c>
      <c r="F12" s="5">
        <v>16.6113818003261</v>
      </c>
      <c r="G12" s="5">
        <v>16.6113818003261</v>
      </c>
      <c r="H12" s="5">
        <v>-23.0543463035903</v>
      </c>
      <c r="I12" s="5">
        <v>-23.0543463035903</v>
      </c>
      <c r="J12" s="5">
        <v>-23.0543463035903</v>
      </c>
      <c r="K12" s="5">
        <v>-0.739640081280059</v>
      </c>
      <c r="L12" s="5">
        <v>-0.739640081280059</v>
      </c>
      <c r="M12" s="5">
        <v>-0.739640081280059</v>
      </c>
      <c r="N12" s="5">
        <v>-22.3147062223102</v>
      </c>
      <c r="O12" s="5">
        <v>-22.3147062223102</v>
      </c>
      <c r="P12" s="5">
        <v>-22.3147062223102</v>
      </c>
      <c r="Q12" s="5">
        <v>0.0</v>
      </c>
      <c r="R12" s="5">
        <v>0.0</v>
      </c>
      <c r="S12" s="5">
        <v>0.0</v>
      </c>
      <c r="T12" s="5">
        <v>-6.44296450326415</v>
      </c>
    </row>
    <row r="13">
      <c r="A13" s="5">
        <v>11.0</v>
      </c>
      <c r="B13" s="6">
        <v>43598.0</v>
      </c>
      <c r="C13" s="5">
        <v>16.6144679992925</v>
      </c>
      <c r="D13" s="5">
        <v>-45.1564718806073</v>
      </c>
      <c r="E13" s="5">
        <v>33.8419846769224</v>
      </c>
      <c r="F13" s="5">
        <v>16.6144679992925</v>
      </c>
      <c r="G13" s="5">
        <v>16.6144679992925</v>
      </c>
      <c r="H13" s="5">
        <v>-23.8859102369495</v>
      </c>
      <c r="I13" s="5">
        <v>-23.8859102369495</v>
      </c>
      <c r="J13" s="5">
        <v>-23.8859102369495</v>
      </c>
      <c r="K13" s="5">
        <v>1.16457933345101</v>
      </c>
      <c r="L13" s="5">
        <v>1.16457933345101</v>
      </c>
      <c r="M13" s="5">
        <v>1.16457933345101</v>
      </c>
      <c r="N13" s="5">
        <v>-25.0504895704006</v>
      </c>
      <c r="O13" s="5">
        <v>-25.0504895704006</v>
      </c>
      <c r="P13" s="5">
        <v>-25.0504895704006</v>
      </c>
      <c r="Q13" s="5">
        <v>0.0</v>
      </c>
      <c r="R13" s="5">
        <v>0.0</v>
      </c>
      <c r="S13" s="5">
        <v>0.0</v>
      </c>
      <c r="T13" s="5">
        <v>-7.27144223765707</v>
      </c>
    </row>
    <row r="14">
      <c r="A14" s="5">
        <v>12.0</v>
      </c>
      <c r="B14" s="6">
        <v>43599.0</v>
      </c>
      <c r="C14" s="5">
        <v>16.6154967322812</v>
      </c>
      <c r="D14" s="5">
        <v>-46.6648243094317</v>
      </c>
      <c r="E14" s="5">
        <v>31.5440574279701</v>
      </c>
      <c r="F14" s="5">
        <v>16.6154967322812</v>
      </c>
      <c r="G14" s="5">
        <v>16.6154967322812</v>
      </c>
      <c r="H14" s="5">
        <v>-25.6441316931827</v>
      </c>
      <c r="I14" s="5">
        <v>-25.6441316931827</v>
      </c>
      <c r="J14" s="5">
        <v>-25.6441316931827</v>
      </c>
      <c r="K14" s="5">
        <v>0.247324772137543</v>
      </c>
      <c r="L14" s="5">
        <v>0.247324772137543</v>
      </c>
      <c r="M14" s="5">
        <v>0.247324772137543</v>
      </c>
      <c r="N14" s="5">
        <v>-25.8914564653203</v>
      </c>
      <c r="O14" s="5">
        <v>-25.8914564653203</v>
      </c>
      <c r="P14" s="5">
        <v>-25.8914564653203</v>
      </c>
      <c r="Q14" s="5">
        <v>0.0</v>
      </c>
      <c r="R14" s="5">
        <v>0.0</v>
      </c>
      <c r="S14" s="5">
        <v>0.0</v>
      </c>
      <c r="T14" s="5">
        <v>-9.02863496090147</v>
      </c>
    </row>
    <row r="15">
      <c r="A15" s="5">
        <v>13.0</v>
      </c>
      <c r="B15" s="6">
        <v>43600.0</v>
      </c>
      <c r="C15" s="5">
        <v>16.61652546527</v>
      </c>
      <c r="D15" s="5">
        <v>-45.4042451639974</v>
      </c>
      <c r="E15" s="5">
        <v>31.7242219249796</v>
      </c>
      <c r="F15" s="5">
        <v>16.61652546527</v>
      </c>
      <c r="G15" s="5">
        <v>16.61652546527</v>
      </c>
      <c r="H15" s="5">
        <v>-26.0624665319309</v>
      </c>
      <c r="I15" s="5">
        <v>-26.0624665319309</v>
      </c>
      <c r="J15" s="5">
        <v>-26.0624665319309</v>
      </c>
      <c r="K15" s="5">
        <v>0.608132553626716</v>
      </c>
      <c r="L15" s="5">
        <v>0.608132553626716</v>
      </c>
      <c r="M15" s="5">
        <v>0.608132553626716</v>
      </c>
      <c r="N15" s="5">
        <v>-26.6705990855577</v>
      </c>
      <c r="O15" s="5">
        <v>-26.6705990855577</v>
      </c>
      <c r="P15" s="5">
        <v>-26.6705990855577</v>
      </c>
      <c r="Q15" s="5">
        <v>0.0</v>
      </c>
      <c r="R15" s="5">
        <v>0.0</v>
      </c>
      <c r="S15" s="5">
        <v>0.0</v>
      </c>
      <c r="T15" s="5">
        <v>-9.44594106666094</v>
      </c>
    </row>
    <row r="16">
      <c r="A16" s="5">
        <v>14.0</v>
      </c>
      <c r="B16" s="6">
        <v>43601.0</v>
      </c>
      <c r="C16" s="5">
        <v>16.6175541982588</v>
      </c>
      <c r="D16" s="5">
        <v>-48.9112211042408</v>
      </c>
      <c r="E16" s="5">
        <v>34.1331009277801</v>
      </c>
      <c r="F16" s="5">
        <v>16.6175541982588</v>
      </c>
      <c r="G16" s="5">
        <v>16.6175541982588</v>
      </c>
      <c r="H16" s="5">
        <v>-27.5984797056126</v>
      </c>
      <c r="I16" s="5">
        <v>-27.5984797056126</v>
      </c>
      <c r="J16" s="5">
        <v>-27.5984797056126</v>
      </c>
      <c r="K16" s="5">
        <v>-0.225417905347968</v>
      </c>
      <c r="L16" s="5">
        <v>-0.225417905347968</v>
      </c>
      <c r="M16" s="5">
        <v>-0.225417905347968</v>
      </c>
      <c r="N16" s="5">
        <v>-27.3730618002646</v>
      </c>
      <c r="O16" s="5">
        <v>-27.3730618002646</v>
      </c>
      <c r="P16" s="5">
        <v>-27.3730618002646</v>
      </c>
      <c r="Q16" s="5">
        <v>0.0</v>
      </c>
      <c r="R16" s="5">
        <v>0.0</v>
      </c>
      <c r="S16" s="5">
        <v>0.0</v>
      </c>
      <c r="T16" s="5">
        <v>-10.9809255073538</v>
      </c>
    </row>
    <row r="17">
      <c r="A17" s="5">
        <v>15.0</v>
      </c>
      <c r="B17" s="6">
        <v>43602.0</v>
      </c>
      <c r="C17" s="5">
        <v>16.6185829312475</v>
      </c>
      <c r="D17" s="5">
        <v>-51.5095574368376</v>
      </c>
      <c r="E17" s="5">
        <v>28.4530584738976</v>
      </c>
      <c r="F17" s="5">
        <v>16.6185829312475</v>
      </c>
      <c r="G17" s="5">
        <v>16.6185829312475</v>
      </c>
      <c r="H17" s="5">
        <v>-28.7248308833896</v>
      </c>
      <c r="I17" s="5">
        <v>-28.7248308833896</v>
      </c>
      <c r="J17" s="5">
        <v>-28.7248308833896</v>
      </c>
      <c r="K17" s="5">
        <v>-0.739640081277783</v>
      </c>
      <c r="L17" s="5">
        <v>-0.739640081277783</v>
      </c>
      <c r="M17" s="5">
        <v>-0.739640081277783</v>
      </c>
      <c r="N17" s="5">
        <v>-27.9851908021118</v>
      </c>
      <c r="O17" s="5">
        <v>-27.9851908021118</v>
      </c>
      <c r="P17" s="5">
        <v>-27.9851908021118</v>
      </c>
      <c r="Q17" s="5">
        <v>0.0</v>
      </c>
      <c r="R17" s="5">
        <v>0.0</v>
      </c>
      <c r="S17" s="5">
        <v>0.0</v>
      </c>
      <c r="T17" s="5">
        <v>-12.106247952142</v>
      </c>
    </row>
    <row r="18">
      <c r="A18" s="5">
        <v>16.0</v>
      </c>
      <c r="B18" s="6">
        <v>43605.0</v>
      </c>
      <c r="C18" s="5">
        <v>16.6216691302139</v>
      </c>
      <c r="D18" s="5">
        <v>-53.0630452037949</v>
      </c>
      <c r="E18" s="5">
        <v>25.840960859307</v>
      </c>
      <c r="F18" s="5">
        <v>16.6216691302139</v>
      </c>
      <c r="G18" s="5">
        <v>16.6216691302139</v>
      </c>
      <c r="H18" s="5">
        <v>-28.0038623530191</v>
      </c>
      <c r="I18" s="5">
        <v>-28.0038623530191</v>
      </c>
      <c r="J18" s="5">
        <v>-28.0038623530191</v>
      </c>
      <c r="K18" s="5">
        <v>1.16457933345038</v>
      </c>
      <c r="L18" s="5">
        <v>1.16457933345038</v>
      </c>
      <c r="M18" s="5">
        <v>1.16457933345038</v>
      </c>
      <c r="N18" s="5">
        <v>-29.1684416864695</v>
      </c>
      <c r="O18" s="5">
        <v>-29.1684416864695</v>
      </c>
      <c r="P18" s="5">
        <v>-29.1684416864695</v>
      </c>
      <c r="Q18" s="5">
        <v>0.0</v>
      </c>
      <c r="R18" s="5">
        <v>0.0</v>
      </c>
      <c r="S18" s="5">
        <v>0.0</v>
      </c>
      <c r="T18" s="5">
        <v>-11.3821932228052</v>
      </c>
    </row>
    <row r="19">
      <c r="A19" s="5">
        <v>17.0</v>
      </c>
      <c r="B19" s="6">
        <v>43606.0</v>
      </c>
      <c r="C19" s="5">
        <v>16.6226978632026</v>
      </c>
      <c r="D19" s="5">
        <v>-50.9973132075462</v>
      </c>
      <c r="E19" s="5">
        <v>25.1596166731111</v>
      </c>
      <c r="F19" s="5">
        <v>16.6226978632026</v>
      </c>
      <c r="G19" s="5">
        <v>16.6226978632026</v>
      </c>
      <c r="H19" s="5">
        <v>-29.0712523140124</v>
      </c>
      <c r="I19" s="5">
        <v>-29.0712523140124</v>
      </c>
      <c r="J19" s="5">
        <v>-29.0712523140124</v>
      </c>
      <c r="K19" s="5">
        <v>0.247324772137632</v>
      </c>
      <c r="L19" s="5">
        <v>0.247324772137632</v>
      </c>
      <c r="M19" s="5">
        <v>0.247324772137632</v>
      </c>
      <c r="N19" s="5">
        <v>-29.31857708615</v>
      </c>
      <c r="O19" s="5">
        <v>-29.31857708615</v>
      </c>
      <c r="P19" s="5">
        <v>-29.31857708615</v>
      </c>
      <c r="Q19" s="5">
        <v>0.0</v>
      </c>
      <c r="R19" s="5">
        <v>0.0</v>
      </c>
      <c r="S19" s="5">
        <v>0.0</v>
      </c>
      <c r="T19" s="5">
        <v>-12.4485544508097</v>
      </c>
    </row>
    <row r="20">
      <c r="A20" s="5">
        <v>18.0</v>
      </c>
      <c r="B20" s="6">
        <v>43607.0</v>
      </c>
      <c r="C20" s="5">
        <v>16.6237265961914</v>
      </c>
      <c r="D20" s="5">
        <v>-53.663467481901</v>
      </c>
      <c r="E20" s="5">
        <v>28.1589976402043</v>
      </c>
      <c r="F20" s="5">
        <v>16.6237265961914</v>
      </c>
      <c r="G20" s="5">
        <v>16.6237265961914</v>
      </c>
      <c r="H20" s="5">
        <v>-28.7311224339915</v>
      </c>
      <c r="I20" s="5">
        <v>-28.7311224339915</v>
      </c>
      <c r="J20" s="5">
        <v>-28.7311224339915</v>
      </c>
      <c r="K20" s="5">
        <v>0.608132553625827</v>
      </c>
      <c r="L20" s="5">
        <v>0.608132553625827</v>
      </c>
      <c r="M20" s="5">
        <v>0.608132553625827</v>
      </c>
      <c r="N20" s="5">
        <v>-29.3392549876173</v>
      </c>
      <c r="O20" s="5">
        <v>-29.3392549876173</v>
      </c>
      <c r="P20" s="5">
        <v>-29.3392549876173</v>
      </c>
      <c r="Q20" s="5">
        <v>0.0</v>
      </c>
      <c r="R20" s="5">
        <v>0.0</v>
      </c>
      <c r="S20" s="5">
        <v>0.0</v>
      </c>
      <c r="T20" s="5">
        <v>-12.1073958378</v>
      </c>
    </row>
    <row r="21">
      <c r="A21" s="5">
        <v>19.0</v>
      </c>
      <c r="B21" s="6">
        <v>43608.0</v>
      </c>
      <c r="C21" s="5">
        <v>16.6247553291802</v>
      </c>
      <c r="D21" s="5">
        <v>-52.4599179511929</v>
      </c>
      <c r="E21" s="5">
        <v>28.2083006823232</v>
      </c>
      <c r="F21" s="5">
        <v>16.6247553291802</v>
      </c>
      <c r="G21" s="5">
        <v>16.6247553291802</v>
      </c>
      <c r="H21" s="5">
        <v>-29.4553383365708</v>
      </c>
      <c r="I21" s="5">
        <v>-29.4553383365708</v>
      </c>
      <c r="J21" s="5">
        <v>-29.4553383365708</v>
      </c>
      <c r="K21" s="5">
        <v>-0.225417905347547</v>
      </c>
      <c r="L21" s="5">
        <v>-0.225417905347547</v>
      </c>
      <c r="M21" s="5">
        <v>-0.225417905347547</v>
      </c>
      <c r="N21" s="5">
        <v>-29.2299204312233</v>
      </c>
      <c r="O21" s="5">
        <v>-29.2299204312233</v>
      </c>
      <c r="P21" s="5">
        <v>-29.2299204312233</v>
      </c>
      <c r="Q21" s="5">
        <v>0.0</v>
      </c>
      <c r="R21" s="5">
        <v>0.0</v>
      </c>
      <c r="S21" s="5">
        <v>0.0</v>
      </c>
      <c r="T21" s="5">
        <v>-12.8305830073906</v>
      </c>
    </row>
    <row r="22">
      <c r="A22" s="5">
        <v>20.0</v>
      </c>
      <c r="B22" s="6">
        <v>43609.0</v>
      </c>
      <c r="C22" s="5">
        <v>16.6257840621689</v>
      </c>
      <c r="D22" s="5">
        <v>-54.1888016095767</v>
      </c>
      <c r="E22" s="5">
        <v>23.9797727324216</v>
      </c>
      <c r="F22" s="5">
        <v>16.6257840621689</v>
      </c>
      <c r="G22" s="5">
        <v>16.6257840621689</v>
      </c>
      <c r="H22" s="5">
        <v>-29.7322544096314</v>
      </c>
      <c r="I22" s="5">
        <v>-29.7322544096314</v>
      </c>
      <c r="J22" s="5">
        <v>-29.7322544096314</v>
      </c>
      <c r="K22" s="5">
        <v>-0.73964008128237</v>
      </c>
      <c r="L22" s="5">
        <v>-0.73964008128237</v>
      </c>
      <c r="M22" s="5">
        <v>-0.73964008128237</v>
      </c>
      <c r="N22" s="5">
        <v>-28.992614328349</v>
      </c>
      <c r="O22" s="5">
        <v>-28.992614328349</v>
      </c>
      <c r="P22" s="5">
        <v>-28.992614328349</v>
      </c>
      <c r="Q22" s="5">
        <v>0.0</v>
      </c>
      <c r="R22" s="5">
        <v>0.0</v>
      </c>
      <c r="S22" s="5">
        <v>0.0</v>
      </c>
      <c r="T22" s="5">
        <v>-13.1064703474624</v>
      </c>
    </row>
    <row r="23">
      <c r="A23" s="5">
        <v>21.0</v>
      </c>
      <c r="B23" s="6">
        <v>43613.0</v>
      </c>
      <c r="C23" s="5">
        <v>16.629898994124</v>
      </c>
      <c r="D23" s="5">
        <v>-48.9114352313762</v>
      </c>
      <c r="E23" s="5">
        <v>29.8724799229928</v>
      </c>
      <c r="F23" s="5">
        <v>16.629898994124</v>
      </c>
      <c r="G23" s="5">
        <v>16.629898994124</v>
      </c>
      <c r="H23" s="5">
        <v>-26.6424458400037</v>
      </c>
      <c r="I23" s="5">
        <v>-26.6424458400037</v>
      </c>
      <c r="J23" s="5">
        <v>-26.6424458400037</v>
      </c>
      <c r="K23" s="5">
        <v>0.247324772136297</v>
      </c>
      <c r="L23" s="5">
        <v>0.247324772136297</v>
      </c>
      <c r="M23" s="5">
        <v>0.247324772136297</v>
      </c>
      <c r="N23" s="5">
        <v>-26.88977061214</v>
      </c>
      <c r="O23" s="5">
        <v>-26.88977061214</v>
      </c>
      <c r="P23" s="5">
        <v>-26.88977061214</v>
      </c>
      <c r="Q23" s="5">
        <v>0.0</v>
      </c>
      <c r="R23" s="5">
        <v>0.0</v>
      </c>
      <c r="S23" s="5">
        <v>0.0</v>
      </c>
      <c r="T23" s="5">
        <v>-10.0125468458797</v>
      </c>
    </row>
    <row r="24">
      <c r="A24" s="5">
        <v>22.0</v>
      </c>
      <c r="B24" s="6">
        <v>43614.0</v>
      </c>
      <c r="C24" s="5">
        <v>16.6309277271128</v>
      </c>
      <c r="D24" s="5">
        <v>-49.3271322178462</v>
      </c>
      <c r="E24" s="5">
        <v>30.4964662422591</v>
      </c>
      <c r="F24" s="5">
        <v>16.6309277271128</v>
      </c>
      <c r="G24" s="5">
        <v>16.6309277271128</v>
      </c>
      <c r="H24" s="5">
        <v>-25.517632008518</v>
      </c>
      <c r="I24" s="5">
        <v>-25.517632008518</v>
      </c>
      <c r="J24" s="5">
        <v>-25.517632008518</v>
      </c>
      <c r="K24" s="5">
        <v>0.608132553627605</v>
      </c>
      <c r="L24" s="5">
        <v>0.608132553627605</v>
      </c>
      <c r="M24" s="5">
        <v>0.608132553627605</v>
      </c>
      <c r="N24" s="5">
        <v>-26.1257645621456</v>
      </c>
      <c r="O24" s="5">
        <v>-26.1257645621456</v>
      </c>
      <c r="P24" s="5">
        <v>-26.1257645621456</v>
      </c>
      <c r="Q24" s="5">
        <v>0.0</v>
      </c>
      <c r="R24" s="5">
        <v>0.0</v>
      </c>
      <c r="S24" s="5">
        <v>0.0</v>
      </c>
      <c r="T24" s="5">
        <v>-8.88670428140525</v>
      </c>
    </row>
    <row r="25">
      <c r="A25" s="5">
        <v>23.0</v>
      </c>
      <c r="B25" s="6">
        <v>43615.0</v>
      </c>
      <c r="C25" s="5">
        <v>16.6319564601016</v>
      </c>
      <c r="D25" s="5">
        <v>-49.8769770297408</v>
      </c>
      <c r="E25" s="5">
        <v>28.6607347829925</v>
      </c>
      <c r="F25" s="5">
        <v>16.6319564601016</v>
      </c>
      <c r="G25" s="5">
        <v>16.6319564601016</v>
      </c>
      <c r="H25" s="5">
        <v>-25.5177831273939</v>
      </c>
      <c r="I25" s="5">
        <v>-25.5177831273939</v>
      </c>
      <c r="J25" s="5">
        <v>-25.5177831273939</v>
      </c>
      <c r="K25" s="5">
        <v>-0.225417905346163</v>
      </c>
      <c r="L25" s="5">
        <v>-0.225417905346163</v>
      </c>
      <c r="M25" s="5">
        <v>-0.225417905346163</v>
      </c>
      <c r="N25" s="5">
        <v>-25.2923652220478</v>
      </c>
      <c r="O25" s="5">
        <v>-25.2923652220478</v>
      </c>
      <c r="P25" s="5">
        <v>-25.2923652220478</v>
      </c>
      <c r="Q25" s="5">
        <v>0.0</v>
      </c>
      <c r="R25" s="5">
        <v>0.0</v>
      </c>
      <c r="S25" s="5">
        <v>0.0</v>
      </c>
      <c r="T25" s="5">
        <v>-8.88582666729236</v>
      </c>
    </row>
    <row r="26">
      <c r="A26" s="5">
        <v>24.0</v>
      </c>
      <c r="B26" s="6">
        <v>43616.0</v>
      </c>
      <c r="C26" s="5">
        <v>16.6329851930903</v>
      </c>
      <c r="D26" s="5">
        <v>-48.7980774202878</v>
      </c>
      <c r="E26" s="5">
        <v>31.790715265681</v>
      </c>
      <c r="F26" s="5">
        <v>16.6329851930903</v>
      </c>
      <c r="G26" s="5">
        <v>16.6329851930903</v>
      </c>
      <c r="H26" s="5">
        <v>-25.1441592277934</v>
      </c>
      <c r="I26" s="5">
        <v>-25.1441592277934</v>
      </c>
      <c r="J26" s="5">
        <v>-25.1441592277934</v>
      </c>
      <c r="K26" s="5">
        <v>-0.739640081279063</v>
      </c>
      <c r="L26" s="5">
        <v>-0.739640081279063</v>
      </c>
      <c r="M26" s="5">
        <v>-0.739640081279063</v>
      </c>
      <c r="N26" s="5">
        <v>-24.4045191465143</v>
      </c>
      <c r="O26" s="5">
        <v>-24.4045191465143</v>
      </c>
      <c r="P26" s="5">
        <v>-24.4045191465143</v>
      </c>
      <c r="Q26" s="5">
        <v>0.0</v>
      </c>
      <c r="R26" s="5">
        <v>0.0</v>
      </c>
      <c r="S26" s="5">
        <v>0.0</v>
      </c>
      <c r="T26" s="5">
        <v>-8.51117403470304</v>
      </c>
    </row>
    <row r="27">
      <c r="A27" s="5">
        <v>25.0</v>
      </c>
      <c r="B27" s="6">
        <v>43619.0</v>
      </c>
      <c r="C27" s="5">
        <v>16.6360713920567</v>
      </c>
      <c r="D27" s="5">
        <v>-45.6086978775061</v>
      </c>
      <c r="E27" s="5">
        <v>37.4039954152488</v>
      </c>
      <c r="F27" s="5">
        <v>16.6360713920567</v>
      </c>
      <c r="G27" s="5">
        <v>16.6360713920567</v>
      </c>
      <c r="H27" s="5">
        <v>-20.4045548918161</v>
      </c>
      <c r="I27" s="5">
        <v>-20.4045548918161</v>
      </c>
      <c r="J27" s="5">
        <v>-20.4045548918161</v>
      </c>
      <c r="K27" s="5">
        <v>1.16457933345106</v>
      </c>
      <c r="L27" s="5">
        <v>1.16457933345106</v>
      </c>
      <c r="M27" s="5">
        <v>1.16457933345106</v>
      </c>
      <c r="N27" s="5">
        <v>-21.5691342252671</v>
      </c>
      <c r="O27" s="5">
        <v>-21.5691342252671</v>
      </c>
      <c r="P27" s="5">
        <v>-21.5691342252671</v>
      </c>
      <c r="Q27" s="5">
        <v>0.0</v>
      </c>
      <c r="R27" s="5">
        <v>0.0</v>
      </c>
      <c r="S27" s="5">
        <v>0.0</v>
      </c>
      <c r="T27" s="5">
        <v>-3.7684834997594</v>
      </c>
    </row>
    <row r="28">
      <c r="A28" s="5">
        <v>26.0</v>
      </c>
      <c r="B28" s="6">
        <v>43620.0</v>
      </c>
      <c r="C28" s="5">
        <v>16.6371001250454</v>
      </c>
      <c r="D28" s="5">
        <v>-47.0282023729636</v>
      </c>
      <c r="E28" s="5">
        <v>35.8087361598449</v>
      </c>
      <c r="F28" s="5">
        <v>16.6371001250454</v>
      </c>
      <c r="G28" s="5">
        <v>16.6371001250454</v>
      </c>
      <c r="H28" s="5">
        <v>-20.3700038689218</v>
      </c>
      <c r="I28" s="5">
        <v>-20.3700038689218</v>
      </c>
      <c r="J28" s="5">
        <v>-20.3700038689218</v>
      </c>
      <c r="K28" s="5">
        <v>0.247324772137808</v>
      </c>
      <c r="L28" s="5">
        <v>0.247324772137808</v>
      </c>
      <c r="M28" s="5">
        <v>0.247324772137808</v>
      </c>
      <c r="N28" s="5">
        <v>-20.6173286410596</v>
      </c>
      <c r="O28" s="5">
        <v>-20.6173286410596</v>
      </c>
      <c r="P28" s="5">
        <v>-20.6173286410596</v>
      </c>
      <c r="Q28" s="5">
        <v>0.0</v>
      </c>
      <c r="R28" s="5">
        <v>0.0</v>
      </c>
      <c r="S28" s="5">
        <v>0.0</v>
      </c>
      <c r="T28" s="5">
        <v>-3.73290374387634</v>
      </c>
    </row>
    <row r="29">
      <c r="A29" s="5">
        <v>27.0</v>
      </c>
      <c r="B29" s="6">
        <v>43621.0</v>
      </c>
      <c r="C29" s="5">
        <v>16.6381288580342</v>
      </c>
      <c r="D29" s="5">
        <v>-44.6766485925778</v>
      </c>
      <c r="E29" s="5">
        <v>36.4136691473954</v>
      </c>
      <c r="F29" s="5">
        <v>16.6381288580342</v>
      </c>
      <c r="G29" s="5">
        <v>16.6381288580342</v>
      </c>
      <c r="H29" s="5">
        <v>-19.0775146618778</v>
      </c>
      <c r="I29" s="5">
        <v>-19.0775146618778</v>
      </c>
      <c r="J29" s="5">
        <v>-19.0775146618778</v>
      </c>
      <c r="K29" s="5">
        <v>0.608132553624824</v>
      </c>
      <c r="L29" s="5">
        <v>0.608132553624824</v>
      </c>
      <c r="M29" s="5">
        <v>0.608132553624824</v>
      </c>
      <c r="N29" s="5">
        <v>-19.6856472155026</v>
      </c>
      <c r="O29" s="5">
        <v>-19.6856472155026</v>
      </c>
      <c r="P29" s="5">
        <v>-19.6856472155026</v>
      </c>
      <c r="Q29" s="5">
        <v>0.0</v>
      </c>
      <c r="R29" s="5">
        <v>0.0</v>
      </c>
      <c r="S29" s="5">
        <v>0.0</v>
      </c>
      <c r="T29" s="5">
        <v>-2.4393858038436</v>
      </c>
    </row>
    <row r="30">
      <c r="A30" s="5">
        <v>28.0</v>
      </c>
      <c r="B30" s="6">
        <v>43622.0</v>
      </c>
      <c r="C30" s="5">
        <v>16.639157591023</v>
      </c>
      <c r="D30" s="5">
        <v>-41.3213010996176</v>
      </c>
      <c r="E30" s="5">
        <v>36.544557450179</v>
      </c>
      <c r="F30" s="5">
        <v>16.639157591023</v>
      </c>
      <c r="G30" s="5">
        <v>16.639157591023</v>
      </c>
      <c r="H30" s="5">
        <v>-19.0117547608082</v>
      </c>
      <c r="I30" s="5">
        <v>-19.0117547608082</v>
      </c>
      <c r="J30" s="5">
        <v>-19.0117547608082</v>
      </c>
      <c r="K30" s="5">
        <v>-0.225417905349128</v>
      </c>
      <c r="L30" s="5">
        <v>-0.225417905349128</v>
      </c>
      <c r="M30" s="5">
        <v>-0.225417905349128</v>
      </c>
      <c r="N30" s="5">
        <v>-18.7863368554591</v>
      </c>
      <c r="O30" s="5">
        <v>-18.7863368554591</v>
      </c>
      <c r="P30" s="5">
        <v>-18.7863368554591</v>
      </c>
      <c r="Q30" s="5">
        <v>0.0</v>
      </c>
      <c r="R30" s="5">
        <v>0.0</v>
      </c>
      <c r="S30" s="5">
        <v>0.0</v>
      </c>
      <c r="T30" s="5">
        <v>-2.37259716978528</v>
      </c>
    </row>
    <row r="31">
      <c r="A31" s="5">
        <v>29.0</v>
      </c>
      <c r="B31" s="6">
        <v>43623.0</v>
      </c>
      <c r="C31" s="5">
        <v>16.6401863240117</v>
      </c>
      <c r="D31" s="5">
        <v>-41.5393687381651</v>
      </c>
      <c r="E31" s="5">
        <v>38.8142359855417</v>
      </c>
      <c r="F31" s="5">
        <v>16.6401863240117</v>
      </c>
      <c r="G31" s="5">
        <v>16.6401863240117</v>
      </c>
      <c r="H31" s="5">
        <v>-18.6696521022201</v>
      </c>
      <c r="I31" s="5">
        <v>-18.6696521022201</v>
      </c>
      <c r="J31" s="5">
        <v>-18.6696521022201</v>
      </c>
      <c r="K31" s="5">
        <v>-0.739640081280219</v>
      </c>
      <c r="L31" s="5">
        <v>-0.739640081280219</v>
      </c>
      <c r="M31" s="5">
        <v>-0.739640081280219</v>
      </c>
      <c r="N31" s="5">
        <v>-17.9300120209399</v>
      </c>
      <c r="O31" s="5">
        <v>-17.9300120209399</v>
      </c>
      <c r="P31" s="5">
        <v>-17.9300120209399</v>
      </c>
      <c r="Q31" s="5">
        <v>0.0</v>
      </c>
      <c r="R31" s="5">
        <v>0.0</v>
      </c>
      <c r="S31" s="5">
        <v>0.0</v>
      </c>
      <c r="T31" s="5">
        <v>-2.02946577820835</v>
      </c>
    </row>
    <row r="32">
      <c r="A32" s="5">
        <v>30.0</v>
      </c>
      <c r="B32" s="6">
        <v>43626.0</v>
      </c>
      <c r="C32" s="5">
        <v>16.643272522978</v>
      </c>
      <c r="D32" s="5">
        <v>-40.1164011784942</v>
      </c>
      <c r="E32" s="5">
        <v>42.7355625096895</v>
      </c>
      <c r="F32" s="5">
        <v>16.643272522978</v>
      </c>
      <c r="G32" s="5">
        <v>16.643272522978</v>
      </c>
      <c r="H32" s="5">
        <v>-14.5316289545064</v>
      </c>
      <c r="I32" s="5">
        <v>-14.5316289545064</v>
      </c>
      <c r="J32" s="5">
        <v>-14.5316289545064</v>
      </c>
      <c r="K32" s="5">
        <v>1.16457933345053</v>
      </c>
      <c r="L32" s="5">
        <v>1.16457933345053</v>
      </c>
      <c r="M32" s="5">
        <v>1.16457933345053</v>
      </c>
      <c r="N32" s="5">
        <v>-15.6962082879569</v>
      </c>
      <c r="O32" s="5">
        <v>-15.6962082879569</v>
      </c>
      <c r="P32" s="5">
        <v>-15.6962082879569</v>
      </c>
      <c r="Q32" s="5">
        <v>0.0</v>
      </c>
      <c r="R32" s="5">
        <v>0.0</v>
      </c>
      <c r="S32" s="5">
        <v>0.0</v>
      </c>
      <c r="T32" s="5">
        <v>2.11164356847165</v>
      </c>
    </row>
    <row r="33">
      <c r="A33" s="5">
        <v>31.0</v>
      </c>
      <c r="B33" s="6">
        <v>43627.0</v>
      </c>
      <c r="C33" s="5">
        <v>16.6443012559668</v>
      </c>
      <c r="D33" s="5">
        <v>-36.4887170664462</v>
      </c>
      <c r="E33" s="5">
        <v>41.9524050732681</v>
      </c>
      <c r="F33" s="5">
        <v>16.6443012559668</v>
      </c>
      <c r="G33" s="5">
        <v>16.6443012559668</v>
      </c>
      <c r="H33" s="5">
        <v>-14.8312131466293</v>
      </c>
      <c r="I33" s="5">
        <v>-14.8312131466293</v>
      </c>
      <c r="J33" s="5">
        <v>-14.8312131466293</v>
      </c>
      <c r="K33" s="5">
        <v>0.247324772139194</v>
      </c>
      <c r="L33" s="5">
        <v>0.247324772139194</v>
      </c>
      <c r="M33" s="5">
        <v>0.247324772139194</v>
      </c>
      <c r="N33" s="5">
        <v>-15.0785379187685</v>
      </c>
      <c r="O33" s="5">
        <v>-15.0785379187685</v>
      </c>
      <c r="P33" s="5">
        <v>-15.0785379187685</v>
      </c>
      <c r="Q33" s="5">
        <v>0.0</v>
      </c>
      <c r="R33" s="5">
        <v>0.0</v>
      </c>
      <c r="S33" s="5">
        <v>0.0</v>
      </c>
      <c r="T33" s="5">
        <v>1.81308810933752</v>
      </c>
    </row>
    <row r="34">
      <c r="A34" s="5">
        <v>32.0</v>
      </c>
      <c r="B34" s="6">
        <v>43628.0</v>
      </c>
      <c r="C34" s="5">
        <v>16.6453299889556</v>
      </c>
      <c r="D34" s="5">
        <v>-41.5567231519833</v>
      </c>
      <c r="E34" s="5">
        <v>42.4064888669668</v>
      </c>
      <c r="F34" s="5">
        <v>16.6453299889556</v>
      </c>
      <c r="G34" s="5">
        <v>16.6453299889556</v>
      </c>
      <c r="H34" s="5">
        <v>-13.9183638415813</v>
      </c>
      <c r="I34" s="5">
        <v>-13.9183638415813</v>
      </c>
      <c r="J34" s="5">
        <v>-13.9183638415813</v>
      </c>
      <c r="K34" s="5">
        <v>0.608132553626603</v>
      </c>
      <c r="L34" s="5">
        <v>0.608132553626603</v>
      </c>
      <c r="M34" s="5">
        <v>0.608132553626603</v>
      </c>
      <c r="N34" s="5">
        <v>-14.5264963952079</v>
      </c>
      <c r="O34" s="5">
        <v>-14.5264963952079</v>
      </c>
      <c r="P34" s="5">
        <v>-14.5264963952079</v>
      </c>
      <c r="Q34" s="5">
        <v>0.0</v>
      </c>
      <c r="R34" s="5">
        <v>0.0</v>
      </c>
      <c r="S34" s="5">
        <v>0.0</v>
      </c>
      <c r="T34" s="5">
        <v>2.72696614737431</v>
      </c>
    </row>
    <row r="35">
      <c r="A35" s="5">
        <v>33.0</v>
      </c>
      <c r="B35" s="6">
        <v>43629.0</v>
      </c>
      <c r="C35" s="5">
        <v>16.6463587219444</v>
      </c>
      <c r="D35" s="5">
        <v>-37.0810659227559</v>
      </c>
      <c r="E35" s="5">
        <v>44.415733669456</v>
      </c>
      <c r="F35" s="5">
        <v>16.6463587219444</v>
      </c>
      <c r="G35" s="5">
        <v>16.6463587219444</v>
      </c>
      <c r="H35" s="5">
        <v>-14.2636101127211</v>
      </c>
      <c r="I35" s="5">
        <v>-14.2636101127211</v>
      </c>
      <c r="J35" s="5">
        <v>-14.2636101127211</v>
      </c>
      <c r="K35" s="5">
        <v>-0.225417905348707</v>
      </c>
      <c r="L35" s="5">
        <v>-0.225417905348707</v>
      </c>
      <c r="M35" s="5">
        <v>-0.225417905348707</v>
      </c>
      <c r="N35" s="5">
        <v>-14.0381922073724</v>
      </c>
      <c r="O35" s="5">
        <v>-14.0381922073724</v>
      </c>
      <c r="P35" s="5">
        <v>-14.0381922073724</v>
      </c>
      <c r="Q35" s="5">
        <v>0.0</v>
      </c>
      <c r="R35" s="5">
        <v>0.0</v>
      </c>
      <c r="S35" s="5">
        <v>0.0</v>
      </c>
      <c r="T35" s="5">
        <v>2.38274860922321</v>
      </c>
    </row>
    <row r="36">
      <c r="A36" s="5">
        <v>34.0</v>
      </c>
      <c r="B36" s="6">
        <v>43630.0</v>
      </c>
      <c r="C36" s="5">
        <v>16.6473874549331</v>
      </c>
      <c r="D36" s="5">
        <v>-39.0420126809965</v>
      </c>
      <c r="E36" s="5">
        <v>42.5092152507171</v>
      </c>
      <c r="F36" s="5">
        <v>16.6473874549331</v>
      </c>
      <c r="G36" s="5">
        <v>16.6473874549331</v>
      </c>
      <c r="H36" s="5">
        <v>-14.3494091230992</v>
      </c>
      <c r="I36" s="5">
        <v>-14.3494091230992</v>
      </c>
      <c r="J36" s="5">
        <v>-14.3494091230992</v>
      </c>
      <c r="K36" s="5">
        <v>-0.739640081281374</v>
      </c>
      <c r="L36" s="5">
        <v>-0.739640081281374</v>
      </c>
      <c r="M36" s="5">
        <v>-0.739640081281374</v>
      </c>
      <c r="N36" s="5">
        <v>-13.6097690418179</v>
      </c>
      <c r="O36" s="5">
        <v>-13.6097690418179</v>
      </c>
      <c r="P36" s="5">
        <v>-13.6097690418179</v>
      </c>
      <c r="Q36" s="5">
        <v>0.0</v>
      </c>
      <c r="R36" s="5">
        <v>0.0</v>
      </c>
      <c r="S36" s="5">
        <v>0.0</v>
      </c>
      <c r="T36" s="5">
        <v>2.29797833183388</v>
      </c>
    </row>
    <row r="37">
      <c r="A37" s="5">
        <v>35.0</v>
      </c>
      <c r="B37" s="6">
        <v>43633.0</v>
      </c>
      <c r="C37" s="5">
        <v>16.6504736538994</v>
      </c>
      <c r="D37" s="5">
        <v>-35.0383635018376</v>
      </c>
      <c r="E37" s="5">
        <v>44.8664817852978</v>
      </c>
      <c r="F37" s="5">
        <v>16.6504736538994</v>
      </c>
      <c r="G37" s="5">
        <v>16.6504736538994</v>
      </c>
      <c r="H37" s="5">
        <v>-11.4554392468746</v>
      </c>
      <c r="I37" s="5">
        <v>-11.4554392468746</v>
      </c>
      <c r="J37" s="5">
        <v>-11.4554392468746</v>
      </c>
      <c r="K37" s="5">
        <v>1.16457933345077</v>
      </c>
      <c r="L37" s="5">
        <v>1.16457933345077</v>
      </c>
      <c r="M37" s="5">
        <v>1.16457933345077</v>
      </c>
      <c r="N37" s="5">
        <v>-12.6200185803254</v>
      </c>
      <c r="O37" s="5">
        <v>-12.6200185803254</v>
      </c>
      <c r="P37" s="5">
        <v>-12.6200185803254</v>
      </c>
      <c r="Q37" s="5">
        <v>0.0</v>
      </c>
      <c r="R37" s="5">
        <v>0.0</v>
      </c>
      <c r="S37" s="5">
        <v>0.0</v>
      </c>
      <c r="T37" s="5">
        <v>5.19503440702484</v>
      </c>
    </row>
    <row r="38">
      <c r="A38" s="5">
        <v>36.0</v>
      </c>
      <c r="B38" s="6">
        <v>43634.0</v>
      </c>
      <c r="C38" s="5">
        <v>16.6515023868882</v>
      </c>
      <c r="D38" s="5">
        <v>-36.0185354425993</v>
      </c>
      <c r="E38" s="5">
        <v>45.8875296556302</v>
      </c>
      <c r="F38" s="5">
        <v>16.6515023868882</v>
      </c>
      <c r="G38" s="5">
        <v>16.6515023868882</v>
      </c>
      <c r="H38" s="5">
        <v>-12.1134414988898</v>
      </c>
      <c r="I38" s="5">
        <v>-12.1134414988898</v>
      </c>
      <c r="J38" s="5">
        <v>-12.1134414988898</v>
      </c>
      <c r="K38" s="5">
        <v>0.247324772139282</v>
      </c>
      <c r="L38" s="5">
        <v>0.247324772139282</v>
      </c>
      <c r="M38" s="5">
        <v>0.247324772139282</v>
      </c>
      <c r="N38" s="5">
        <v>-12.3607662710291</v>
      </c>
      <c r="O38" s="5">
        <v>-12.3607662710291</v>
      </c>
      <c r="P38" s="5">
        <v>-12.3607662710291</v>
      </c>
      <c r="Q38" s="5">
        <v>0.0</v>
      </c>
      <c r="R38" s="5">
        <v>0.0</v>
      </c>
      <c r="S38" s="5">
        <v>0.0</v>
      </c>
      <c r="T38" s="5">
        <v>4.53806088799838</v>
      </c>
    </row>
    <row r="39">
      <c r="A39" s="5">
        <v>37.0</v>
      </c>
      <c r="B39" s="6">
        <v>43635.0</v>
      </c>
      <c r="C39" s="5">
        <v>16.652531119877</v>
      </c>
      <c r="D39" s="5">
        <v>-36.977637443075</v>
      </c>
      <c r="E39" s="5">
        <v>44.2077744876769</v>
      </c>
      <c r="F39" s="5">
        <v>16.652531119877</v>
      </c>
      <c r="G39" s="5">
        <v>16.652531119877</v>
      </c>
      <c r="H39" s="5">
        <v>-11.5125525844</v>
      </c>
      <c r="I39" s="5">
        <v>-11.5125525844</v>
      </c>
      <c r="J39" s="5">
        <v>-11.5125525844</v>
      </c>
      <c r="K39" s="5">
        <v>0.608132553628382</v>
      </c>
      <c r="L39" s="5">
        <v>0.608132553628382</v>
      </c>
      <c r="M39" s="5">
        <v>0.608132553628382</v>
      </c>
      <c r="N39" s="5">
        <v>-12.1206851380284</v>
      </c>
      <c r="O39" s="5">
        <v>-12.1206851380284</v>
      </c>
      <c r="P39" s="5">
        <v>-12.1206851380284</v>
      </c>
      <c r="Q39" s="5">
        <v>0.0</v>
      </c>
      <c r="R39" s="5">
        <v>0.0</v>
      </c>
      <c r="S39" s="5">
        <v>0.0</v>
      </c>
      <c r="T39" s="5">
        <v>5.13997853547695</v>
      </c>
    </row>
    <row r="40">
      <c r="A40" s="5">
        <v>38.0</v>
      </c>
      <c r="B40" s="6">
        <v>43636.0</v>
      </c>
      <c r="C40" s="5">
        <v>16.6535598528658</v>
      </c>
      <c r="D40" s="5">
        <v>-34.983090955352</v>
      </c>
      <c r="E40" s="5">
        <v>44.2224490246355</v>
      </c>
      <c r="F40" s="5">
        <v>16.6535598528658</v>
      </c>
      <c r="G40" s="5">
        <v>16.6535598528658</v>
      </c>
      <c r="H40" s="5">
        <v>-12.1148372915643</v>
      </c>
      <c r="I40" s="5">
        <v>-12.1148372915643</v>
      </c>
      <c r="J40" s="5">
        <v>-12.1148372915643</v>
      </c>
      <c r="K40" s="5">
        <v>-0.225417905351671</v>
      </c>
      <c r="L40" s="5">
        <v>-0.225417905351671</v>
      </c>
      <c r="M40" s="5">
        <v>-0.225417905351671</v>
      </c>
      <c r="N40" s="5">
        <v>-11.8894193862126</v>
      </c>
      <c r="O40" s="5">
        <v>-11.8894193862126</v>
      </c>
      <c r="P40" s="5">
        <v>-11.8894193862126</v>
      </c>
      <c r="Q40" s="5">
        <v>0.0</v>
      </c>
      <c r="R40" s="5">
        <v>0.0</v>
      </c>
      <c r="S40" s="5">
        <v>0.0</v>
      </c>
      <c r="T40" s="5">
        <v>4.53872256130146</v>
      </c>
    </row>
    <row r="41">
      <c r="A41" s="5">
        <v>39.0</v>
      </c>
      <c r="B41" s="6">
        <v>43637.0</v>
      </c>
      <c r="C41" s="5">
        <v>16.6545885858545</v>
      </c>
      <c r="D41" s="5">
        <v>-35.3890844163212</v>
      </c>
      <c r="E41" s="5">
        <v>43.4742344734147</v>
      </c>
      <c r="F41" s="5">
        <v>16.6545885858545</v>
      </c>
      <c r="G41" s="5">
        <v>16.6545885858545</v>
      </c>
      <c r="H41" s="5">
        <v>-12.3962821146663</v>
      </c>
      <c r="I41" s="5">
        <v>-12.3962821146663</v>
      </c>
      <c r="J41" s="5">
        <v>-12.3962821146663</v>
      </c>
      <c r="K41" s="5">
        <v>-0.739640081281499</v>
      </c>
      <c r="L41" s="5">
        <v>-0.739640081281499</v>
      </c>
      <c r="M41" s="5">
        <v>-0.739640081281499</v>
      </c>
      <c r="N41" s="5">
        <v>-11.6566420333848</v>
      </c>
      <c r="O41" s="5">
        <v>-11.6566420333848</v>
      </c>
      <c r="P41" s="5">
        <v>-11.6566420333848</v>
      </c>
      <c r="Q41" s="5">
        <v>0.0</v>
      </c>
      <c r="R41" s="5">
        <v>0.0</v>
      </c>
      <c r="S41" s="5">
        <v>0.0</v>
      </c>
      <c r="T41" s="5">
        <v>4.25830647118823</v>
      </c>
    </row>
    <row r="42">
      <c r="A42" s="5">
        <v>40.0</v>
      </c>
      <c r="B42" s="6">
        <v>43640.0</v>
      </c>
      <c r="C42" s="5">
        <v>16.6576747848208</v>
      </c>
      <c r="D42" s="5">
        <v>-34.5232831737794</v>
      </c>
      <c r="E42" s="5">
        <v>46.8968803778273</v>
      </c>
      <c r="F42" s="5">
        <v>16.6576747848208</v>
      </c>
      <c r="G42" s="5">
        <v>16.6576747848208</v>
      </c>
      <c r="H42" s="5">
        <v>-9.68852077627451</v>
      </c>
      <c r="I42" s="5">
        <v>-9.68852077627451</v>
      </c>
      <c r="J42" s="5">
        <v>-9.68852077627451</v>
      </c>
      <c r="K42" s="5">
        <v>1.1645793334511</v>
      </c>
      <c r="L42" s="5">
        <v>1.1645793334511</v>
      </c>
      <c r="M42" s="5">
        <v>1.1645793334511</v>
      </c>
      <c r="N42" s="5">
        <v>-10.8531001097256</v>
      </c>
      <c r="O42" s="5">
        <v>-10.8531001097256</v>
      </c>
      <c r="P42" s="5">
        <v>-10.8531001097256</v>
      </c>
      <c r="Q42" s="5">
        <v>0.0</v>
      </c>
      <c r="R42" s="5">
        <v>0.0</v>
      </c>
      <c r="S42" s="5">
        <v>0.0</v>
      </c>
      <c r="T42" s="5">
        <v>6.96915400854637</v>
      </c>
    </row>
    <row r="43">
      <c r="A43" s="5">
        <v>41.0</v>
      </c>
      <c r="B43" s="6">
        <v>43641.0</v>
      </c>
      <c r="C43" s="5">
        <v>16.6587035235402</v>
      </c>
      <c r="D43" s="5">
        <v>-33.5932530138041</v>
      </c>
      <c r="E43" s="5">
        <v>50.057243697635</v>
      </c>
      <c r="F43" s="5">
        <v>16.6587035235402</v>
      </c>
      <c r="G43" s="5">
        <v>16.6587035235402</v>
      </c>
      <c r="H43" s="5">
        <v>-10.2751982854758</v>
      </c>
      <c r="I43" s="5">
        <v>-10.2751982854758</v>
      </c>
      <c r="J43" s="5">
        <v>-10.2751982854758</v>
      </c>
      <c r="K43" s="5">
        <v>0.247324772137948</v>
      </c>
      <c r="L43" s="5">
        <v>0.247324772137948</v>
      </c>
      <c r="M43" s="5">
        <v>0.247324772137948</v>
      </c>
      <c r="N43" s="5">
        <v>-10.5225230576138</v>
      </c>
      <c r="O43" s="5">
        <v>-10.5225230576138</v>
      </c>
      <c r="P43" s="5">
        <v>-10.5225230576138</v>
      </c>
      <c r="Q43" s="5">
        <v>0.0</v>
      </c>
      <c r="R43" s="5">
        <v>0.0</v>
      </c>
      <c r="S43" s="5">
        <v>0.0</v>
      </c>
      <c r="T43" s="5">
        <v>6.38350523806438</v>
      </c>
    </row>
    <row r="44">
      <c r="A44" s="5">
        <v>42.0</v>
      </c>
      <c r="B44" s="6">
        <v>43642.0</v>
      </c>
      <c r="C44" s="5">
        <v>16.6597322622595</v>
      </c>
      <c r="D44" s="5">
        <v>-34.1034645870104</v>
      </c>
      <c r="E44" s="5">
        <v>48.4227521995457</v>
      </c>
      <c r="F44" s="5">
        <v>16.6597322622595</v>
      </c>
      <c r="G44" s="5">
        <v>16.6597322622595</v>
      </c>
      <c r="H44" s="5">
        <v>-9.54165876573954</v>
      </c>
      <c r="I44" s="5">
        <v>-9.54165876573954</v>
      </c>
      <c r="J44" s="5">
        <v>-9.54165876573954</v>
      </c>
      <c r="K44" s="5">
        <v>0.608132553625601</v>
      </c>
      <c r="L44" s="5">
        <v>0.608132553625601</v>
      </c>
      <c r="M44" s="5">
        <v>0.608132553625601</v>
      </c>
      <c r="N44" s="5">
        <v>-10.1497913193651</v>
      </c>
      <c r="O44" s="5">
        <v>-10.1497913193651</v>
      </c>
      <c r="P44" s="5">
        <v>-10.1497913193651</v>
      </c>
      <c r="Q44" s="5">
        <v>0.0</v>
      </c>
      <c r="R44" s="5">
        <v>0.0</v>
      </c>
      <c r="S44" s="5">
        <v>0.0</v>
      </c>
      <c r="T44" s="5">
        <v>7.11807349652005</v>
      </c>
    </row>
    <row r="45">
      <c r="A45" s="5">
        <v>43.0</v>
      </c>
      <c r="B45" s="6">
        <v>43643.0</v>
      </c>
      <c r="C45" s="5">
        <v>16.6607610009789</v>
      </c>
      <c r="D45" s="5">
        <v>-35.2125158552651</v>
      </c>
      <c r="E45" s="5">
        <v>45.5266116763396</v>
      </c>
      <c r="F45" s="5">
        <v>16.6607610009789</v>
      </c>
      <c r="G45" s="5">
        <v>16.6607610009789</v>
      </c>
      <c r="H45" s="5">
        <v>-9.95606246680437</v>
      </c>
      <c r="I45" s="5">
        <v>-9.95606246680437</v>
      </c>
      <c r="J45" s="5">
        <v>-9.95606246680437</v>
      </c>
      <c r="K45" s="5">
        <v>-0.225417905346902</v>
      </c>
      <c r="L45" s="5">
        <v>-0.225417905346902</v>
      </c>
      <c r="M45" s="5">
        <v>-0.225417905346902</v>
      </c>
      <c r="N45" s="5">
        <v>-9.73064456145746</v>
      </c>
      <c r="O45" s="5">
        <v>-9.73064456145746</v>
      </c>
      <c r="P45" s="5">
        <v>-9.73064456145746</v>
      </c>
      <c r="Q45" s="5">
        <v>0.0</v>
      </c>
      <c r="R45" s="5">
        <v>0.0</v>
      </c>
      <c r="S45" s="5">
        <v>0.0</v>
      </c>
      <c r="T45" s="5">
        <v>6.70469853417457</v>
      </c>
    </row>
    <row r="46">
      <c r="A46" s="5">
        <v>44.0</v>
      </c>
      <c r="B46" s="6">
        <v>43644.0</v>
      </c>
      <c r="C46" s="5">
        <v>16.6617897396982</v>
      </c>
      <c r="D46" s="5">
        <v>-36.8372991368199</v>
      </c>
      <c r="E46" s="5">
        <v>45.9175433028969</v>
      </c>
      <c r="F46" s="5">
        <v>16.6617897396982</v>
      </c>
      <c r="G46" s="5">
        <v>16.6617897396982</v>
      </c>
      <c r="H46" s="5">
        <v>-10.0021075894457</v>
      </c>
      <c r="I46" s="5">
        <v>-10.0021075894457</v>
      </c>
      <c r="J46" s="5">
        <v>-10.0021075894457</v>
      </c>
      <c r="K46" s="5">
        <v>-0.739640081281624</v>
      </c>
      <c r="L46" s="5">
        <v>-0.739640081281624</v>
      </c>
      <c r="M46" s="5">
        <v>-0.739640081281624</v>
      </c>
      <c r="N46" s="5">
        <v>-9.26246750816415</v>
      </c>
      <c r="O46" s="5">
        <v>-9.26246750816415</v>
      </c>
      <c r="P46" s="5">
        <v>-9.26246750816415</v>
      </c>
      <c r="Q46" s="5">
        <v>0.0</v>
      </c>
      <c r="R46" s="5">
        <v>0.0</v>
      </c>
      <c r="S46" s="5">
        <v>0.0</v>
      </c>
      <c r="T46" s="5">
        <v>6.65968215025251</v>
      </c>
    </row>
    <row r="47">
      <c r="A47" s="5">
        <v>45.0</v>
      </c>
      <c r="B47" s="6">
        <v>43647.0</v>
      </c>
      <c r="C47" s="5">
        <v>16.6648759558563</v>
      </c>
      <c r="D47" s="5">
        <v>-30.3538823372951</v>
      </c>
      <c r="E47" s="5">
        <v>51.1805434590616</v>
      </c>
      <c r="F47" s="5">
        <v>16.6648759558563</v>
      </c>
      <c r="G47" s="5">
        <v>16.6648759558563</v>
      </c>
      <c r="H47" s="5">
        <v>-6.39841327026472</v>
      </c>
      <c r="I47" s="5">
        <v>-6.39841327026472</v>
      </c>
      <c r="J47" s="5">
        <v>-6.39841327026472</v>
      </c>
      <c r="K47" s="5">
        <v>1.16457933345133</v>
      </c>
      <c r="L47" s="5">
        <v>1.16457933345133</v>
      </c>
      <c r="M47" s="5">
        <v>1.16457933345133</v>
      </c>
      <c r="N47" s="5">
        <v>-7.56299260371605</v>
      </c>
      <c r="O47" s="5">
        <v>-7.56299260371605</v>
      </c>
      <c r="P47" s="5">
        <v>-7.56299260371605</v>
      </c>
      <c r="Q47" s="5">
        <v>0.0</v>
      </c>
      <c r="R47" s="5">
        <v>0.0</v>
      </c>
      <c r="S47" s="5">
        <v>0.0</v>
      </c>
      <c r="T47" s="5">
        <v>10.2664626855916</v>
      </c>
    </row>
    <row r="48">
      <c r="A48" s="5">
        <v>46.0</v>
      </c>
      <c r="B48" s="6">
        <v>43648.0</v>
      </c>
      <c r="C48" s="5">
        <v>16.6659046945757</v>
      </c>
      <c r="D48" s="5">
        <v>-31.1202756236159</v>
      </c>
      <c r="E48" s="5">
        <v>50.9117860020866</v>
      </c>
      <c r="F48" s="5">
        <v>16.6659046945757</v>
      </c>
      <c r="G48" s="5">
        <v>16.6659046945757</v>
      </c>
      <c r="H48" s="5">
        <v>-6.65882311305728</v>
      </c>
      <c r="I48" s="5">
        <v>-6.65882311305728</v>
      </c>
      <c r="J48" s="5">
        <v>-6.65882311305728</v>
      </c>
      <c r="K48" s="5">
        <v>0.247324772138685</v>
      </c>
      <c r="L48" s="5">
        <v>0.247324772138685</v>
      </c>
      <c r="M48" s="5">
        <v>0.247324772138685</v>
      </c>
      <c r="N48" s="5">
        <v>-6.90614788519597</v>
      </c>
      <c r="O48" s="5">
        <v>-6.90614788519597</v>
      </c>
      <c r="P48" s="5">
        <v>-6.90614788519597</v>
      </c>
      <c r="Q48" s="5">
        <v>0.0</v>
      </c>
      <c r="R48" s="5">
        <v>0.0</v>
      </c>
      <c r="S48" s="5">
        <v>0.0</v>
      </c>
      <c r="T48" s="5">
        <v>10.0070815815184</v>
      </c>
    </row>
    <row r="49">
      <c r="A49" s="5">
        <v>47.0</v>
      </c>
      <c r="B49" s="6">
        <v>43649.0</v>
      </c>
      <c r="C49" s="5">
        <v>16.666933433295</v>
      </c>
      <c r="D49" s="5">
        <v>-28.865359429601</v>
      </c>
      <c r="E49" s="5">
        <v>50.0944117463378</v>
      </c>
      <c r="F49" s="5">
        <v>16.666933433295</v>
      </c>
      <c r="G49" s="5">
        <v>16.666933433295</v>
      </c>
      <c r="H49" s="5">
        <v>-5.60372965888636</v>
      </c>
      <c r="I49" s="5">
        <v>-5.60372965888636</v>
      </c>
      <c r="J49" s="5">
        <v>-5.60372965888636</v>
      </c>
      <c r="K49" s="5">
        <v>0.60813255362738</v>
      </c>
      <c r="L49" s="5">
        <v>0.60813255362738</v>
      </c>
      <c r="M49" s="5">
        <v>0.60813255362738</v>
      </c>
      <c r="N49" s="5">
        <v>-6.21186221251374</v>
      </c>
      <c r="O49" s="5">
        <v>-6.21186221251374</v>
      </c>
      <c r="P49" s="5">
        <v>-6.21186221251374</v>
      </c>
      <c r="Q49" s="5">
        <v>0.0</v>
      </c>
      <c r="R49" s="5">
        <v>0.0</v>
      </c>
      <c r="S49" s="5">
        <v>0.0</v>
      </c>
      <c r="T49" s="5">
        <v>11.0632037744086</v>
      </c>
    </row>
    <row r="50">
      <c r="A50" s="5">
        <v>48.0</v>
      </c>
      <c r="B50" s="6">
        <v>43651.0</v>
      </c>
      <c r="C50" s="5">
        <v>16.6689909107337</v>
      </c>
      <c r="D50" s="5">
        <v>-28.9027335705929</v>
      </c>
      <c r="E50" s="5">
        <v>52.4332488050571</v>
      </c>
      <c r="F50" s="5">
        <v>16.6689909107337</v>
      </c>
      <c r="G50" s="5">
        <v>16.6689909107337</v>
      </c>
      <c r="H50" s="5">
        <v>-5.4778383788578</v>
      </c>
      <c r="I50" s="5">
        <v>-5.4778383788578</v>
      </c>
      <c r="J50" s="5">
        <v>-5.4778383788578</v>
      </c>
      <c r="K50" s="5">
        <v>-0.73964008128278</v>
      </c>
      <c r="L50" s="5">
        <v>-0.73964008128278</v>
      </c>
      <c r="M50" s="5">
        <v>-0.73964008128278</v>
      </c>
      <c r="N50" s="5">
        <v>-4.73819829757502</v>
      </c>
      <c r="O50" s="5">
        <v>-4.73819829757502</v>
      </c>
      <c r="P50" s="5">
        <v>-4.73819829757502</v>
      </c>
      <c r="Q50" s="5">
        <v>0.0</v>
      </c>
      <c r="R50" s="5">
        <v>0.0</v>
      </c>
      <c r="S50" s="5">
        <v>0.0</v>
      </c>
      <c r="T50" s="5">
        <v>11.1911525318759</v>
      </c>
    </row>
    <row r="51">
      <c r="A51" s="5">
        <v>49.0</v>
      </c>
      <c r="B51" s="6">
        <v>43654.0</v>
      </c>
      <c r="C51" s="5">
        <v>16.6720771268918</v>
      </c>
      <c r="D51" s="5">
        <v>-24.8307146692634</v>
      </c>
      <c r="E51" s="5">
        <v>55.585666925638</v>
      </c>
      <c r="F51" s="5">
        <v>16.6720771268918</v>
      </c>
      <c r="G51" s="5">
        <v>16.6720771268918</v>
      </c>
      <c r="H51" s="5">
        <v>-1.27324239472112</v>
      </c>
      <c r="I51" s="5">
        <v>-1.27324239472112</v>
      </c>
      <c r="J51" s="5">
        <v>-1.27324239472112</v>
      </c>
      <c r="K51" s="5">
        <v>1.16457933345091</v>
      </c>
      <c r="L51" s="5">
        <v>1.16457933345091</v>
      </c>
      <c r="M51" s="5">
        <v>1.16457933345091</v>
      </c>
      <c r="N51" s="5">
        <v>-2.43782172817204</v>
      </c>
      <c r="O51" s="5">
        <v>-2.43782172817204</v>
      </c>
      <c r="P51" s="5">
        <v>-2.43782172817204</v>
      </c>
      <c r="Q51" s="5">
        <v>0.0</v>
      </c>
      <c r="R51" s="5">
        <v>0.0</v>
      </c>
      <c r="S51" s="5">
        <v>0.0</v>
      </c>
      <c r="T51" s="5">
        <v>15.3988347321706</v>
      </c>
    </row>
    <row r="52">
      <c r="A52" s="5">
        <v>50.0</v>
      </c>
      <c r="B52" s="6">
        <v>43655.0</v>
      </c>
      <c r="C52" s="5">
        <v>16.6731058656111</v>
      </c>
      <c r="D52" s="5">
        <v>-27.4715071531274</v>
      </c>
      <c r="E52" s="5">
        <v>57.4318287918228</v>
      </c>
      <c r="F52" s="5">
        <v>16.6731058656111</v>
      </c>
      <c r="G52" s="5">
        <v>16.6731058656111</v>
      </c>
      <c r="H52" s="5">
        <v>-1.43512664247245</v>
      </c>
      <c r="I52" s="5">
        <v>-1.43512664247245</v>
      </c>
      <c r="J52" s="5">
        <v>-1.43512664247245</v>
      </c>
      <c r="K52" s="5">
        <v>0.247324772138773</v>
      </c>
      <c r="L52" s="5">
        <v>0.247324772138773</v>
      </c>
      <c r="M52" s="5">
        <v>0.247324772138773</v>
      </c>
      <c r="N52" s="5">
        <v>-1.68245141461123</v>
      </c>
      <c r="O52" s="5">
        <v>-1.68245141461123</v>
      </c>
      <c r="P52" s="5">
        <v>-1.68245141461123</v>
      </c>
      <c r="Q52" s="5">
        <v>0.0</v>
      </c>
      <c r="R52" s="5">
        <v>0.0</v>
      </c>
      <c r="S52" s="5">
        <v>0.0</v>
      </c>
      <c r="T52" s="5">
        <v>15.2379792231387</v>
      </c>
    </row>
    <row r="53">
      <c r="A53" s="5">
        <v>51.0</v>
      </c>
      <c r="B53" s="6">
        <v>43656.0</v>
      </c>
      <c r="C53" s="5">
        <v>16.6741346043305</v>
      </c>
      <c r="D53" s="5">
        <v>-24.6382104672392</v>
      </c>
      <c r="E53" s="5">
        <v>56.4987871414746</v>
      </c>
      <c r="F53" s="5">
        <v>16.6741346043305</v>
      </c>
      <c r="G53" s="5">
        <v>16.6741346043305</v>
      </c>
      <c r="H53" s="5">
        <v>-0.339258816234178</v>
      </c>
      <c r="I53" s="5">
        <v>-0.339258816234178</v>
      </c>
      <c r="J53" s="5">
        <v>-0.339258816234178</v>
      </c>
      <c r="K53" s="5">
        <v>0.60813255362649</v>
      </c>
      <c r="L53" s="5">
        <v>0.60813255362649</v>
      </c>
      <c r="M53" s="5">
        <v>0.60813255362649</v>
      </c>
      <c r="N53" s="5">
        <v>-0.947391369860668</v>
      </c>
      <c r="O53" s="5">
        <v>-0.947391369860668</v>
      </c>
      <c r="P53" s="5">
        <v>-0.947391369860668</v>
      </c>
      <c r="Q53" s="5">
        <v>0.0</v>
      </c>
      <c r="R53" s="5">
        <v>0.0</v>
      </c>
      <c r="S53" s="5">
        <v>0.0</v>
      </c>
      <c r="T53" s="5">
        <v>16.3348757880963</v>
      </c>
    </row>
    <row r="54">
      <c r="A54" s="5">
        <v>52.0</v>
      </c>
      <c r="B54" s="6">
        <v>43657.0</v>
      </c>
      <c r="C54" s="5">
        <v>16.6751633430498</v>
      </c>
      <c r="D54" s="5">
        <v>-22.3759150179773</v>
      </c>
      <c r="E54" s="5">
        <v>55.6975590012883</v>
      </c>
      <c r="F54" s="5">
        <v>16.6751633430498</v>
      </c>
      <c r="G54" s="5">
        <v>16.6751633430498</v>
      </c>
      <c r="H54" s="5">
        <v>-0.466130331973626</v>
      </c>
      <c r="I54" s="5">
        <v>-0.466130331973626</v>
      </c>
      <c r="J54" s="5">
        <v>-0.466130331973626</v>
      </c>
      <c r="K54" s="5">
        <v>-0.225417905352831</v>
      </c>
      <c r="L54" s="5">
        <v>-0.225417905352831</v>
      </c>
      <c r="M54" s="5">
        <v>-0.225417905352831</v>
      </c>
      <c r="N54" s="5">
        <v>-0.240712426620794</v>
      </c>
      <c r="O54" s="5">
        <v>-0.240712426620794</v>
      </c>
      <c r="P54" s="5">
        <v>-0.240712426620794</v>
      </c>
      <c r="Q54" s="5">
        <v>0.0</v>
      </c>
      <c r="R54" s="5">
        <v>0.0</v>
      </c>
      <c r="S54" s="5">
        <v>0.0</v>
      </c>
      <c r="T54" s="5">
        <v>16.2090330110762</v>
      </c>
    </row>
    <row r="55">
      <c r="A55" s="5">
        <v>53.0</v>
      </c>
      <c r="B55" s="6">
        <v>43658.0</v>
      </c>
      <c r="C55" s="5">
        <v>16.6761920817692</v>
      </c>
      <c r="D55" s="5">
        <v>-24.9253591383975</v>
      </c>
      <c r="E55" s="5">
        <v>55.9483417530571</v>
      </c>
      <c r="F55" s="5">
        <v>16.6761920817692</v>
      </c>
      <c r="G55" s="5">
        <v>16.6761920817692</v>
      </c>
      <c r="H55" s="5">
        <v>-0.309346862644773</v>
      </c>
      <c r="I55" s="5">
        <v>-0.309346862644773</v>
      </c>
      <c r="J55" s="5">
        <v>-0.309346862644773</v>
      </c>
      <c r="K55" s="5">
        <v>-0.739640081279473</v>
      </c>
      <c r="L55" s="5">
        <v>-0.739640081279473</v>
      </c>
      <c r="M55" s="5">
        <v>-0.739640081279473</v>
      </c>
      <c r="N55" s="5">
        <v>0.430293218634699</v>
      </c>
      <c r="O55" s="5">
        <v>0.430293218634699</v>
      </c>
      <c r="P55" s="5">
        <v>0.430293218634699</v>
      </c>
      <c r="Q55" s="5">
        <v>0.0</v>
      </c>
      <c r="R55" s="5">
        <v>0.0</v>
      </c>
      <c r="S55" s="5">
        <v>0.0</v>
      </c>
      <c r="T55" s="5">
        <v>16.3668452191244</v>
      </c>
    </row>
    <row r="56">
      <c r="A56" s="5">
        <v>54.0</v>
      </c>
      <c r="B56" s="6">
        <v>43661.0</v>
      </c>
      <c r="C56" s="5">
        <v>16.6792782979272</v>
      </c>
      <c r="D56" s="5">
        <v>-21.5891709416901</v>
      </c>
      <c r="E56" s="5">
        <v>58.298592171765</v>
      </c>
      <c r="F56" s="5">
        <v>16.6792782979272</v>
      </c>
      <c r="G56" s="5">
        <v>16.6792782979272</v>
      </c>
      <c r="H56" s="5">
        <v>3.33636283370107</v>
      </c>
      <c r="I56" s="5">
        <v>3.33636283370107</v>
      </c>
      <c r="J56" s="5">
        <v>3.33636283370107</v>
      </c>
      <c r="K56" s="5">
        <v>1.16457933345039</v>
      </c>
      <c r="L56" s="5">
        <v>1.16457933345039</v>
      </c>
      <c r="M56" s="5">
        <v>1.16457933345039</v>
      </c>
      <c r="N56" s="5">
        <v>2.17178350025068</v>
      </c>
      <c r="O56" s="5">
        <v>2.17178350025068</v>
      </c>
      <c r="P56" s="5">
        <v>2.17178350025068</v>
      </c>
      <c r="Q56" s="5">
        <v>0.0</v>
      </c>
      <c r="R56" s="5">
        <v>0.0</v>
      </c>
      <c r="S56" s="5">
        <v>0.0</v>
      </c>
      <c r="T56" s="5">
        <v>20.0156411316283</v>
      </c>
    </row>
    <row r="57">
      <c r="A57" s="5">
        <v>55.0</v>
      </c>
      <c r="B57" s="6">
        <v>43662.0</v>
      </c>
      <c r="C57" s="5">
        <v>16.6803070366466</v>
      </c>
      <c r="D57" s="5">
        <v>-20.3658632020185</v>
      </c>
      <c r="E57" s="5">
        <v>60.8726507535151</v>
      </c>
      <c r="F57" s="5">
        <v>16.6803070366466</v>
      </c>
      <c r="G57" s="5">
        <v>16.6803070366466</v>
      </c>
      <c r="H57" s="5">
        <v>2.89598242770606</v>
      </c>
      <c r="I57" s="5">
        <v>2.89598242770606</v>
      </c>
      <c r="J57" s="5">
        <v>2.89598242770606</v>
      </c>
      <c r="K57" s="5">
        <v>0.247324772138861</v>
      </c>
      <c r="L57" s="5">
        <v>0.247324772138861</v>
      </c>
      <c r="M57" s="5">
        <v>0.247324772138861</v>
      </c>
      <c r="N57" s="5">
        <v>2.6486576555672</v>
      </c>
      <c r="O57" s="5">
        <v>2.6486576555672</v>
      </c>
      <c r="P57" s="5">
        <v>2.6486576555672</v>
      </c>
      <c r="Q57" s="5">
        <v>0.0</v>
      </c>
      <c r="R57" s="5">
        <v>0.0</v>
      </c>
      <c r="S57" s="5">
        <v>0.0</v>
      </c>
      <c r="T57" s="5">
        <v>19.5762894643527</v>
      </c>
    </row>
    <row r="58">
      <c r="A58" s="5">
        <v>56.0</v>
      </c>
      <c r="B58" s="6">
        <v>43663.0</v>
      </c>
      <c r="C58" s="5">
        <v>16.6813357753659</v>
      </c>
      <c r="D58" s="5">
        <v>-21.6699152039486</v>
      </c>
      <c r="E58" s="5">
        <v>60.7774902493359</v>
      </c>
      <c r="F58" s="5">
        <v>16.6813357753659</v>
      </c>
      <c r="G58" s="5">
        <v>16.6813357753659</v>
      </c>
      <c r="H58" s="5">
        <v>3.67858011958971</v>
      </c>
      <c r="I58" s="5">
        <v>3.67858011958971</v>
      </c>
      <c r="J58" s="5">
        <v>3.67858011958971</v>
      </c>
      <c r="K58" s="5">
        <v>0.608132553628269</v>
      </c>
      <c r="L58" s="5">
        <v>0.608132553628269</v>
      </c>
      <c r="M58" s="5">
        <v>0.608132553628269</v>
      </c>
      <c r="N58" s="5">
        <v>3.07044756596144</v>
      </c>
      <c r="O58" s="5">
        <v>3.07044756596144</v>
      </c>
      <c r="P58" s="5">
        <v>3.07044756596144</v>
      </c>
      <c r="Q58" s="5">
        <v>0.0</v>
      </c>
      <c r="R58" s="5">
        <v>0.0</v>
      </c>
      <c r="S58" s="5">
        <v>0.0</v>
      </c>
      <c r="T58" s="5">
        <v>20.3599158949557</v>
      </c>
    </row>
    <row r="59">
      <c r="A59" s="5">
        <v>57.0</v>
      </c>
      <c r="B59" s="6">
        <v>43664.0</v>
      </c>
      <c r="C59" s="5">
        <v>16.6823645140853</v>
      </c>
      <c r="D59" s="5">
        <v>-20.2590064106191</v>
      </c>
      <c r="E59" s="5">
        <v>58.1610277421269</v>
      </c>
      <c r="F59" s="5">
        <v>16.6823645140853</v>
      </c>
      <c r="G59" s="5">
        <v>16.6823645140853</v>
      </c>
      <c r="H59" s="5">
        <v>3.2117778773633</v>
      </c>
      <c r="I59" s="5">
        <v>3.2117778773633</v>
      </c>
      <c r="J59" s="5">
        <v>3.2117778773633</v>
      </c>
      <c r="K59" s="5">
        <v>-0.225417905348061</v>
      </c>
      <c r="L59" s="5">
        <v>-0.225417905348061</v>
      </c>
      <c r="M59" s="5">
        <v>-0.225417905348061</v>
      </c>
      <c r="N59" s="5">
        <v>3.43719578271136</v>
      </c>
      <c r="O59" s="5">
        <v>3.43719578271136</v>
      </c>
      <c r="P59" s="5">
        <v>3.43719578271136</v>
      </c>
      <c r="Q59" s="5">
        <v>0.0</v>
      </c>
      <c r="R59" s="5">
        <v>0.0</v>
      </c>
      <c r="S59" s="5">
        <v>0.0</v>
      </c>
      <c r="T59" s="5">
        <v>19.8941423914486</v>
      </c>
    </row>
    <row r="60">
      <c r="A60" s="5">
        <v>58.0</v>
      </c>
      <c r="B60" s="6">
        <v>43665.0</v>
      </c>
      <c r="C60" s="5">
        <v>16.6833932528047</v>
      </c>
      <c r="D60" s="5">
        <v>-20.7871242827403</v>
      </c>
      <c r="E60" s="5">
        <v>60.240859272854</v>
      </c>
      <c r="F60" s="5">
        <v>16.6833932528047</v>
      </c>
      <c r="G60" s="5">
        <v>16.6833932528047</v>
      </c>
      <c r="H60" s="5">
        <v>3.01058762822856</v>
      </c>
      <c r="I60" s="5">
        <v>3.01058762822856</v>
      </c>
      <c r="J60" s="5">
        <v>3.01058762822856</v>
      </c>
      <c r="K60" s="5">
        <v>-0.73964008128406</v>
      </c>
      <c r="L60" s="5">
        <v>-0.73964008128406</v>
      </c>
      <c r="M60" s="5">
        <v>-0.73964008128406</v>
      </c>
      <c r="N60" s="5">
        <v>3.75022770951262</v>
      </c>
      <c r="O60" s="5">
        <v>3.75022770951262</v>
      </c>
      <c r="P60" s="5">
        <v>3.75022770951262</v>
      </c>
      <c r="Q60" s="5">
        <v>0.0</v>
      </c>
      <c r="R60" s="5">
        <v>0.0</v>
      </c>
      <c r="S60" s="5">
        <v>0.0</v>
      </c>
      <c r="T60" s="5">
        <v>19.6939808810332</v>
      </c>
    </row>
    <row r="61">
      <c r="A61" s="5">
        <v>59.0</v>
      </c>
      <c r="B61" s="6">
        <v>43668.0</v>
      </c>
      <c r="C61" s="5">
        <v>16.6864794689627</v>
      </c>
      <c r="D61" s="5">
        <v>-19.3913579452016</v>
      </c>
      <c r="E61" s="5">
        <v>65.8482553059033</v>
      </c>
      <c r="F61" s="5">
        <v>16.6864794689627</v>
      </c>
      <c r="G61" s="5">
        <v>16.6864794689627</v>
      </c>
      <c r="H61" s="5">
        <v>5.56194492463245</v>
      </c>
      <c r="I61" s="5">
        <v>5.56194492463245</v>
      </c>
      <c r="J61" s="5">
        <v>5.56194492463245</v>
      </c>
      <c r="K61" s="5">
        <v>1.16457933345073</v>
      </c>
      <c r="L61" s="5">
        <v>1.16457933345073</v>
      </c>
      <c r="M61" s="5">
        <v>1.16457933345073</v>
      </c>
      <c r="N61" s="5">
        <v>4.39736559118172</v>
      </c>
      <c r="O61" s="5">
        <v>4.39736559118172</v>
      </c>
      <c r="P61" s="5">
        <v>4.39736559118172</v>
      </c>
      <c r="Q61" s="5">
        <v>0.0</v>
      </c>
      <c r="R61" s="5">
        <v>0.0</v>
      </c>
      <c r="S61" s="5">
        <v>0.0</v>
      </c>
      <c r="T61" s="5">
        <v>22.2484243935952</v>
      </c>
    </row>
    <row r="62">
      <c r="A62" s="5">
        <v>60.0</v>
      </c>
      <c r="B62" s="6">
        <v>43669.0</v>
      </c>
      <c r="C62" s="5">
        <v>16.6875082076821</v>
      </c>
      <c r="D62" s="5">
        <v>-17.3403321040426</v>
      </c>
      <c r="E62" s="5">
        <v>64.0354623075718</v>
      </c>
      <c r="F62" s="5">
        <v>16.6875082076821</v>
      </c>
      <c r="G62" s="5">
        <v>16.6875082076821</v>
      </c>
      <c r="H62" s="5">
        <v>4.77787992478242</v>
      </c>
      <c r="I62" s="5">
        <v>4.77787992478242</v>
      </c>
      <c r="J62" s="5">
        <v>4.77787992478242</v>
      </c>
      <c r="K62" s="5">
        <v>0.247324772138176</v>
      </c>
      <c r="L62" s="5">
        <v>0.247324772138176</v>
      </c>
      <c r="M62" s="5">
        <v>0.247324772138176</v>
      </c>
      <c r="N62" s="5">
        <v>4.53055515264425</v>
      </c>
      <c r="O62" s="5">
        <v>4.53055515264425</v>
      </c>
      <c r="P62" s="5">
        <v>4.53055515264425</v>
      </c>
      <c r="Q62" s="5">
        <v>0.0</v>
      </c>
      <c r="R62" s="5">
        <v>0.0</v>
      </c>
      <c r="S62" s="5">
        <v>0.0</v>
      </c>
      <c r="T62" s="5">
        <v>21.4653881324645</v>
      </c>
    </row>
    <row r="63">
      <c r="A63" s="5">
        <v>61.0</v>
      </c>
      <c r="B63" s="6">
        <v>43670.0</v>
      </c>
      <c r="C63" s="5">
        <v>16.6885369464014</v>
      </c>
      <c r="D63" s="5">
        <v>-19.7574409398875</v>
      </c>
      <c r="E63" s="5">
        <v>64.173743493678</v>
      </c>
      <c r="F63" s="5">
        <v>16.6885369464014</v>
      </c>
      <c r="G63" s="5">
        <v>16.6885369464014</v>
      </c>
      <c r="H63" s="5">
        <v>5.23973699008446</v>
      </c>
      <c r="I63" s="5">
        <v>5.23973699008446</v>
      </c>
      <c r="J63" s="5">
        <v>5.23973699008446</v>
      </c>
      <c r="K63" s="5">
        <v>0.608132553628156</v>
      </c>
      <c r="L63" s="5">
        <v>0.608132553628156</v>
      </c>
      <c r="M63" s="5">
        <v>0.608132553628156</v>
      </c>
      <c r="N63" s="5">
        <v>4.63160443645631</v>
      </c>
      <c r="O63" s="5">
        <v>4.63160443645631</v>
      </c>
      <c r="P63" s="5">
        <v>4.63160443645631</v>
      </c>
      <c r="Q63" s="5">
        <v>0.0</v>
      </c>
      <c r="R63" s="5">
        <v>0.0</v>
      </c>
      <c r="S63" s="5">
        <v>0.0</v>
      </c>
      <c r="T63" s="5">
        <v>21.9282739364859</v>
      </c>
    </row>
    <row r="64">
      <c r="A64" s="5">
        <v>62.0</v>
      </c>
      <c r="B64" s="6">
        <v>43671.0</v>
      </c>
      <c r="C64" s="5">
        <v>16.6895656851208</v>
      </c>
      <c r="D64" s="5">
        <v>-21.7629915052639</v>
      </c>
      <c r="E64" s="5">
        <v>63.5115023748182</v>
      </c>
      <c r="F64" s="5">
        <v>16.6895656851208</v>
      </c>
      <c r="G64" s="5">
        <v>16.6895656851208</v>
      </c>
      <c r="H64" s="5">
        <v>4.48118758389923</v>
      </c>
      <c r="I64" s="5">
        <v>4.48118758389923</v>
      </c>
      <c r="J64" s="5">
        <v>4.48118758389923</v>
      </c>
      <c r="K64" s="5">
        <v>-0.225417905350063</v>
      </c>
      <c r="L64" s="5">
        <v>-0.225417905350063</v>
      </c>
      <c r="M64" s="5">
        <v>-0.225417905350063</v>
      </c>
      <c r="N64" s="5">
        <v>4.70660548924929</v>
      </c>
      <c r="O64" s="5">
        <v>4.70660548924929</v>
      </c>
      <c r="P64" s="5">
        <v>4.70660548924929</v>
      </c>
      <c r="Q64" s="5">
        <v>0.0</v>
      </c>
      <c r="R64" s="5">
        <v>0.0</v>
      </c>
      <c r="S64" s="5">
        <v>0.0</v>
      </c>
      <c r="T64" s="5">
        <v>21.17075326902</v>
      </c>
    </row>
    <row r="65">
      <c r="A65" s="5">
        <v>63.0</v>
      </c>
      <c r="B65" s="6">
        <v>43672.0</v>
      </c>
      <c r="C65" s="5">
        <v>16.6905944238401</v>
      </c>
      <c r="D65" s="5">
        <v>-20.0141311229051</v>
      </c>
      <c r="E65" s="5">
        <v>59.8901700544318</v>
      </c>
      <c r="F65" s="5">
        <v>16.6905944238401</v>
      </c>
      <c r="G65" s="5">
        <v>16.6905944238401</v>
      </c>
      <c r="H65" s="5">
        <v>4.02213468757773</v>
      </c>
      <c r="I65" s="5">
        <v>4.02213468757773</v>
      </c>
      <c r="J65" s="5">
        <v>4.02213468757773</v>
      </c>
      <c r="K65" s="5">
        <v>-0.739640081281784</v>
      </c>
      <c r="L65" s="5">
        <v>-0.739640081281784</v>
      </c>
      <c r="M65" s="5">
        <v>-0.739640081281784</v>
      </c>
      <c r="N65" s="5">
        <v>4.76177476885952</v>
      </c>
      <c r="O65" s="5">
        <v>4.76177476885952</v>
      </c>
      <c r="P65" s="5">
        <v>4.76177476885952</v>
      </c>
      <c r="Q65" s="5">
        <v>0.0</v>
      </c>
      <c r="R65" s="5">
        <v>0.0</v>
      </c>
      <c r="S65" s="5">
        <v>0.0</v>
      </c>
      <c r="T65" s="5">
        <v>20.7127291114179</v>
      </c>
    </row>
    <row r="66">
      <c r="A66" s="5">
        <v>64.0</v>
      </c>
      <c r="B66" s="6">
        <v>43675.0</v>
      </c>
      <c r="C66" s="5">
        <v>16.6936806399982</v>
      </c>
      <c r="D66" s="5">
        <v>-19.5903981529635</v>
      </c>
      <c r="E66" s="5">
        <v>60.1985608207908</v>
      </c>
      <c r="F66" s="5">
        <v>16.6936806399982</v>
      </c>
      <c r="G66" s="5">
        <v>16.6936806399982</v>
      </c>
      <c r="H66" s="5">
        <v>6.03274253604446</v>
      </c>
      <c r="I66" s="5">
        <v>6.03274253604446</v>
      </c>
      <c r="J66" s="5">
        <v>6.03274253604446</v>
      </c>
      <c r="K66" s="5">
        <v>1.1645793334501</v>
      </c>
      <c r="L66" s="5">
        <v>1.1645793334501</v>
      </c>
      <c r="M66" s="5">
        <v>1.1645793334501</v>
      </c>
      <c r="N66" s="5">
        <v>4.86816320259436</v>
      </c>
      <c r="O66" s="5">
        <v>4.86816320259436</v>
      </c>
      <c r="P66" s="5">
        <v>4.86816320259436</v>
      </c>
      <c r="Q66" s="5">
        <v>0.0</v>
      </c>
      <c r="R66" s="5">
        <v>0.0</v>
      </c>
      <c r="S66" s="5">
        <v>0.0</v>
      </c>
      <c r="T66" s="5">
        <v>22.7264231760426</v>
      </c>
    </row>
    <row r="67">
      <c r="A67" s="5">
        <v>65.0</v>
      </c>
      <c r="B67" s="6">
        <v>43676.0</v>
      </c>
      <c r="C67" s="5">
        <v>16.6947093787175</v>
      </c>
      <c r="D67" s="5">
        <v>-17.436093919026</v>
      </c>
      <c r="E67" s="5">
        <v>60.530244631029</v>
      </c>
      <c r="F67" s="5">
        <v>16.6947093787175</v>
      </c>
      <c r="G67" s="5">
        <v>16.6947093787175</v>
      </c>
      <c r="H67" s="5">
        <v>5.14919332893064</v>
      </c>
      <c r="I67" s="5">
        <v>5.14919332893064</v>
      </c>
      <c r="J67" s="5">
        <v>5.14919332893064</v>
      </c>
      <c r="K67" s="5">
        <v>0.247324772139687</v>
      </c>
      <c r="L67" s="5">
        <v>0.247324772139687</v>
      </c>
      <c r="M67" s="5">
        <v>0.247324772139687</v>
      </c>
      <c r="N67" s="5">
        <v>4.90186855679095</v>
      </c>
      <c r="O67" s="5">
        <v>4.90186855679095</v>
      </c>
      <c r="P67" s="5">
        <v>4.90186855679095</v>
      </c>
      <c r="Q67" s="5">
        <v>0.0</v>
      </c>
      <c r="R67" s="5">
        <v>0.0</v>
      </c>
      <c r="S67" s="5">
        <v>0.0</v>
      </c>
      <c r="T67" s="5">
        <v>21.8439027076482</v>
      </c>
    </row>
    <row r="68">
      <c r="A68" s="5">
        <v>66.0</v>
      </c>
      <c r="B68" s="6">
        <v>43677.0</v>
      </c>
      <c r="C68" s="5">
        <v>16.6957381174369</v>
      </c>
      <c r="D68" s="5">
        <v>-19.5877523781781</v>
      </c>
      <c r="E68" s="5">
        <v>65.1592838005771</v>
      </c>
      <c r="F68" s="5">
        <v>16.6957381174369</v>
      </c>
      <c r="G68" s="5">
        <v>16.6957381174369</v>
      </c>
      <c r="H68" s="5">
        <v>5.55028245051998</v>
      </c>
      <c r="I68" s="5">
        <v>5.55028245051998</v>
      </c>
      <c r="J68" s="5">
        <v>5.55028245051998</v>
      </c>
      <c r="K68" s="5">
        <v>0.608132553627267</v>
      </c>
      <c r="L68" s="5">
        <v>0.608132553627267</v>
      </c>
      <c r="M68" s="5">
        <v>0.608132553627267</v>
      </c>
      <c r="N68" s="5">
        <v>4.94214989689271</v>
      </c>
      <c r="O68" s="5">
        <v>4.94214989689271</v>
      </c>
      <c r="P68" s="5">
        <v>4.94214989689271</v>
      </c>
      <c r="Q68" s="5">
        <v>0.0</v>
      </c>
      <c r="R68" s="5">
        <v>0.0</v>
      </c>
      <c r="S68" s="5">
        <v>0.0</v>
      </c>
      <c r="T68" s="5">
        <v>22.2460205679569</v>
      </c>
    </row>
    <row r="69">
      <c r="A69" s="5">
        <v>67.0</v>
      </c>
      <c r="B69" s="6">
        <v>43678.0</v>
      </c>
      <c r="C69" s="5">
        <v>16.6967668561562</v>
      </c>
      <c r="D69" s="5">
        <v>-18.7125358005671</v>
      </c>
      <c r="E69" s="5">
        <v>60.0744101385544</v>
      </c>
      <c r="F69" s="5">
        <v>16.6967668561562</v>
      </c>
      <c r="G69" s="5">
        <v>16.6967668561562</v>
      </c>
      <c r="H69" s="5">
        <v>4.76692116495569</v>
      </c>
      <c r="I69" s="5">
        <v>4.76692116495569</v>
      </c>
      <c r="J69" s="5">
        <v>4.76692116495569</v>
      </c>
      <c r="K69" s="5">
        <v>-0.225417905346256</v>
      </c>
      <c r="L69" s="5">
        <v>-0.225417905346256</v>
      </c>
      <c r="M69" s="5">
        <v>-0.225417905346256</v>
      </c>
      <c r="N69" s="5">
        <v>4.99233907030195</v>
      </c>
      <c r="O69" s="5">
        <v>4.99233907030195</v>
      </c>
      <c r="P69" s="5">
        <v>4.99233907030195</v>
      </c>
      <c r="Q69" s="5">
        <v>0.0</v>
      </c>
      <c r="R69" s="5">
        <v>0.0</v>
      </c>
      <c r="S69" s="5">
        <v>0.0</v>
      </c>
      <c r="T69" s="5">
        <v>21.4636880211119</v>
      </c>
    </row>
    <row r="70">
      <c r="A70" s="5">
        <v>68.0</v>
      </c>
      <c r="B70" s="6">
        <v>43679.0</v>
      </c>
      <c r="C70" s="5">
        <v>16.6977955948756</v>
      </c>
      <c r="D70" s="5">
        <v>-20.8840413155493</v>
      </c>
      <c r="E70" s="5">
        <v>61.3969396886247</v>
      </c>
      <c r="F70" s="5">
        <v>16.6977955948756</v>
      </c>
      <c r="G70" s="5">
        <v>16.6977955948756</v>
      </c>
      <c r="H70" s="5">
        <v>4.31527591480608</v>
      </c>
      <c r="I70" s="5">
        <v>4.31527591480608</v>
      </c>
      <c r="J70" s="5">
        <v>4.31527591480608</v>
      </c>
      <c r="K70" s="5">
        <v>-0.739640081282939</v>
      </c>
      <c r="L70" s="5">
        <v>-0.739640081282939</v>
      </c>
      <c r="M70" s="5">
        <v>-0.739640081282939</v>
      </c>
      <c r="N70" s="5">
        <v>5.05491599608902</v>
      </c>
      <c r="O70" s="5">
        <v>5.05491599608902</v>
      </c>
      <c r="P70" s="5">
        <v>5.05491599608902</v>
      </c>
      <c r="Q70" s="5">
        <v>0.0</v>
      </c>
      <c r="R70" s="5">
        <v>0.0</v>
      </c>
      <c r="S70" s="5">
        <v>0.0</v>
      </c>
      <c r="T70" s="5">
        <v>21.0130715096817</v>
      </c>
    </row>
    <row r="71">
      <c r="A71" s="5">
        <v>69.0</v>
      </c>
      <c r="B71" s="6">
        <v>43682.0</v>
      </c>
      <c r="C71" s="5">
        <v>16.7008818110337</v>
      </c>
      <c r="D71" s="5">
        <v>-15.862349819877</v>
      </c>
      <c r="E71" s="5">
        <v>67.4996845268898</v>
      </c>
      <c r="F71" s="5">
        <v>16.7008818110337</v>
      </c>
      <c r="G71" s="5">
        <v>16.7008818110337</v>
      </c>
      <c r="H71" s="5">
        <v>6.49343638926136</v>
      </c>
      <c r="I71" s="5">
        <v>6.49343638926136</v>
      </c>
      <c r="J71" s="5">
        <v>6.49343638926136</v>
      </c>
      <c r="K71" s="5">
        <v>1.16457933345033</v>
      </c>
      <c r="L71" s="5">
        <v>1.16457933345033</v>
      </c>
      <c r="M71" s="5">
        <v>1.16457933345033</v>
      </c>
      <c r="N71" s="5">
        <v>5.32885705581103</v>
      </c>
      <c r="O71" s="5">
        <v>5.32885705581103</v>
      </c>
      <c r="P71" s="5">
        <v>5.32885705581103</v>
      </c>
      <c r="Q71" s="5">
        <v>0.0</v>
      </c>
      <c r="R71" s="5">
        <v>0.0</v>
      </c>
      <c r="S71" s="5">
        <v>0.0</v>
      </c>
      <c r="T71" s="5">
        <v>23.194318200295</v>
      </c>
    </row>
    <row r="72">
      <c r="A72" s="5">
        <v>70.0</v>
      </c>
      <c r="B72" s="6">
        <v>43683.0</v>
      </c>
      <c r="C72" s="5">
        <v>16.701910549753</v>
      </c>
      <c r="D72" s="5">
        <v>-18.04117556183</v>
      </c>
      <c r="E72" s="5">
        <v>62.1172367600578</v>
      </c>
      <c r="F72" s="5">
        <v>16.701910549753</v>
      </c>
      <c r="G72" s="5">
        <v>16.701910549753</v>
      </c>
      <c r="H72" s="5">
        <v>5.69616485862079</v>
      </c>
      <c r="I72" s="5">
        <v>5.69616485862079</v>
      </c>
      <c r="J72" s="5">
        <v>5.69616485862079</v>
      </c>
      <c r="K72" s="5">
        <v>0.247324772138352</v>
      </c>
      <c r="L72" s="5">
        <v>0.247324772138352</v>
      </c>
      <c r="M72" s="5">
        <v>0.247324772138352</v>
      </c>
      <c r="N72" s="5">
        <v>5.44884008648243</v>
      </c>
      <c r="O72" s="5">
        <v>5.44884008648243</v>
      </c>
      <c r="P72" s="5">
        <v>5.44884008648243</v>
      </c>
      <c r="Q72" s="5">
        <v>0.0</v>
      </c>
      <c r="R72" s="5">
        <v>0.0</v>
      </c>
      <c r="S72" s="5">
        <v>0.0</v>
      </c>
      <c r="T72" s="5">
        <v>22.3980754083738</v>
      </c>
    </row>
    <row r="73">
      <c r="A73" s="5">
        <v>71.0</v>
      </c>
      <c r="B73" s="6">
        <v>43684.0</v>
      </c>
      <c r="C73" s="5">
        <v>16.7029392884724</v>
      </c>
      <c r="D73" s="5">
        <v>-18.6805855323801</v>
      </c>
      <c r="E73" s="5">
        <v>64.0590563711228</v>
      </c>
      <c r="F73" s="5">
        <v>16.7029392884724</v>
      </c>
      <c r="G73" s="5">
        <v>16.7029392884724</v>
      </c>
      <c r="H73" s="5">
        <v>6.18952754799356</v>
      </c>
      <c r="I73" s="5">
        <v>6.18952754799356</v>
      </c>
      <c r="J73" s="5">
        <v>6.18952754799356</v>
      </c>
      <c r="K73" s="5">
        <v>0.608132553626377</v>
      </c>
      <c r="L73" s="5">
        <v>0.608132553626377</v>
      </c>
      <c r="M73" s="5">
        <v>0.608132553626377</v>
      </c>
      <c r="N73" s="5">
        <v>5.58139499436719</v>
      </c>
      <c r="O73" s="5">
        <v>5.58139499436719</v>
      </c>
      <c r="P73" s="5">
        <v>5.58139499436719</v>
      </c>
      <c r="Q73" s="5">
        <v>0.0</v>
      </c>
      <c r="R73" s="5">
        <v>0.0</v>
      </c>
      <c r="S73" s="5">
        <v>0.0</v>
      </c>
      <c r="T73" s="5">
        <v>22.8924668364659</v>
      </c>
    </row>
    <row r="74">
      <c r="A74" s="5">
        <v>72.0</v>
      </c>
      <c r="B74" s="6">
        <v>43685.0</v>
      </c>
      <c r="C74" s="5">
        <v>16.7039680271917</v>
      </c>
      <c r="D74" s="5">
        <v>-19.5149812907686</v>
      </c>
      <c r="E74" s="5">
        <v>61.2313658257964</v>
      </c>
      <c r="F74" s="5">
        <v>16.7039680271917</v>
      </c>
      <c r="G74" s="5">
        <v>16.7039680271917</v>
      </c>
      <c r="H74" s="5">
        <v>5.4992546417454</v>
      </c>
      <c r="I74" s="5">
        <v>5.4992546417454</v>
      </c>
      <c r="J74" s="5">
        <v>5.4992546417454</v>
      </c>
      <c r="K74" s="5">
        <v>-0.225417905348258</v>
      </c>
      <c r="L74" s="5">
        <v>-0.225417905348258</v>
      </c>
      <c r="M74" s="5">
        <v>-0.225417905348258</v>
      </c>
      <c r="N74" s="5">
        <v>5.72467254709365</v>
      </c>
      <c r="O74" s="5">
        <v>5.72467254709365</v>
      </c>
      <c r="P74" s="5">
        <v>5.72467254709365</v>
      </c>
      <c r="Q74" s="5">
        <v>0.0</v>
      </c>
      <c r="R74" s="5">
        <v>0.0</v>
      </c>
      <c r="S74" s="5">
        <v>0.0</v>
      </c>
      <c r="T74" s="5">
        <v>22.2032226689371</v>
      </c>
    </row>
    <row r="75">
      <c r="A75" s="5">
        <v>73.0</v>
      </c>
      <c r="B75" s="6">
        <v>43686.0</v>
      </c>
      <c r="C75" s="5">
        <v>16.7049967659111</v>
      </c>
      <c r="D75" s="5">
        <v>-19.2732317436717</v>
      </c>
      <c r="E75" s="5">
        <v>63.0716017994618</v>
      </c>
      <c r="F75" s="5">
        <v>16.7049967659111</v>
      </c>
      <c r="G75" s="5">
        <v>16.7049967659111</v>
      </c>
      <c r="H75" s="5">
        <v>5.13685761997964</v>
      </c>
      <c r="I75" s="5">
        <v>5.13685761997964</v>
      </c>
      <c r="J75" s="5">
        <v>5.13685761997964</v>
      </c>
      <c r="K75" s="5">
        <v>-0.739640081279632</v>
      </c>
      <c r="L75" s="5">
        <v>-0.739640081279632</v>
      </c>
      <c r="M75" s="5">
        <v>-0.739640081279632</v>
      </c>
      <c r="N75" s="5">
        <v>5.87649770125928</v>
      </c>
      <c r="O75" s="5">
        <v>5.87649770125928</v>
      </c>
      <c r="P75" s="5">
        <v>5.87649770125928</v>
      </c>
      <c r="Q75" s="5">
        <v>0.0</v>
      </c>
      <c r="R75" s="5">
        <v>0.0</v>
      </c>
      <c r="S75" s="5">
        <v>0.0</v>
      </c>
      <c r="T75" s="5">
        <v>21.8418543858907</v>
      </c>
    </row>
    <row r="76">
      <c r="A76" s="5">
        <v>74.0</v>
      </c>
      <c r="B76" s="6">
        <v>43689.0</v>
      </c>
      <c r="C76" s="5">
        <v>16.7080829820691</v>
      </c>
      <c r="D76" s="5">
        <v>-15.837530710653</v>
      </c>
      <c r="E76" s="5">
        <v>66.2869699961218</v>
      </c>
      <c r="F76" s="5">
        <v>16.7080829820691</v>
      </c>
      <c r="G76" s="5">
        <v>16.7080829820691</v>
      </c>
      <c r="H76" s="5">
        <v>7.52461043243339</v>
      </c>
      <c r="I76" s="5">
        <v>7.52461043243339</v>
      </c>
      <c r="J76" s="5">
        <v>7.52461043243339</v>
      </c>
      <c r="K76" s="5">
        <v>1.16457933345077</v>
      </c>
      <c r="L76" s="5">
        <v>1.16457933345077</v>
      </c>
      <c r="M76" s="5">
        <v>1.16457933345077</v>
      </c>
      <c r="N76" s="5">
        <v>6.36003109898262</v>
      </c>
      <c r="O76" s="5">
        <v>6.36003109898262</v>
      </c>
      <c r="P76" s="5">
        <v>6.36003109898262</v>
      </c>
      <c r="Q76" s="5">
        <v>0.0</v>
      </c>
      <c r="R76" s="5">
        <v>0.0</v>
      </c>
      <c r="S76" s="5">
        <v>0.0</v>
      </c>
      <c r="T76" s="5">
        <v>24.2326934145025</v>
      </c>
    </row>
    <row r="77">
      <c r="A77" s="5">
        <v>75.0</v>
      </c>
      <c r="B77" s="6">
        <v>43690.0</v>
      </c>
      <c r="C77" s="5">
        <v>16.7091117207885</v>
      </c>
      <c r="D77" s="5">
        <v>-18.5065246304558</v>
      </c>
      <c r="E77" s="5">
        <v>62.750770832747</v>
      </c>
      <c r="F77" s="5">
        <v>16.7091117207885</v>
      </c>
      <c r="G77" s="5">
        <v>16.7091117207885</v>
      </c>
      <c r="H77" s="5">
        <v>6.77079287179037</v>
      </c>
      <c r="I77" s="5">
        <v>6.77079287179037</v>
      </c>
      <c r="J77" s="5">
        <v>6.77079287179037</v>
      </c>
      <c r="K77" s="5">
        <v>0.247324772138441</v>
      </c>
      <c r="L77" s="5">
        <v>0.247324772138441</v>
      </c>
      <c r="M77" s="5">
        <v>0.247324772138441</v>
      </c>
      <c r="N77" s="5">
        <v>6.52346809965193</v>
      </c>
      <c r="O77" s="5">
        <v>6.52346809965193</v>
      </c>
      <c r="P77" s="5">
        <v>6.52346809965193</v>
      </c>
      <c r="Q77" s="5">
        <v>0.0</v>
      </c>
      <c r="R77" s="5">
        <v>0.0</v>
      </c>
      <c r="S77" s="5">
        <v>0.0</v>
      </c>
      <c r="T77" s="5">
        <v>23.4799045925788</v>
      </c>
    </row>
    <row r="78">
      <c r="A78" s="5">
        <v>76.0</v>
      </c>
      <c r="B78" s="6">
        <v>43691.0</v>
      </c>
      <c r="C78" s="5">
        <v>16.7101404595078</v>
      </c>
      <c r="D78" s="5">
        <v>-15.482132485853</v>
      </c>
      <c r="E78" s="5">
        <v>65.19024280915</v>
      </c>
      <c r="F78" s="5">
        <v>16.7101404595078</v>
      </c>
      <c r="G78" s="5">
        <v>16.7101404595078</v>
      </c>
      <c r="H78" s="5">
        <v>7.29347808624752</v>
      </c>
      <c r="I78" s="5">
        <v>7.29347808624752</v>
      </c>
      <c r="J78" s="5">
        <v>7.29347808624752</v>
      </c>
      <c r="K78" s="5">
        <v>0.608132553628933</v>
      </c>
      <c r="L78" s="5">
        <v>0.608132553628933</v>
      </c>
      <c r="M78" s="5">
        <v>0.608132553628933</v>
      </c>
      <c r="N78" s="5">
        <v>6.68534553261859</v>
      </c>
      <c r="O78" s="5">
        <v>6.68534553261859</v>
      </c>
      <c r="P78" s="5">
        <v>6.68534553261859</v>
      </c>
      <c r="Q78" s="5">
        <v>0.0</v>
      </c>
      <c r="R78" s="5">
        <v>0.0</v>
      </c>
      <c r="S78" s="5">
        <v>0.0</v>
      </c>
      <c r="T78" s="5">
        <v>24.0036185457553</v>
      </c>
    </row>
    <row r="79">
      <c r="A79" s="5">
        <v>77.0</v>
      </c>
      <c r="B79" s="6">
        <v>43692.0</v>
      </c>
      <c r="C79" s="5">
        <v>16.7111691982272</v>
      </c>
      <c r="D79" s="5">
        <v>-19.7312129801038</v>
      </c>
      <c r="E79" s="5">
        <v>63.1924112317431</v>
      </c>
      <c r="F79" s="5">
        <v>16.7111691982272</v>
      </c>
      <c r="G79" s="5">
        <v>16.7111691982272</v>
      </c>
      <c r="H79" s="5">
        <v>6.61942077958864</v>
      </c>
      <c r="I79" s="5">
        <v>6.61942077958864</v>
      </c>
      <c r="J79" s="5">
        <v>6.61942077958864</v>
      </c>
      <c r="K79" s="5">
        <v>-0.225417905347837</v>
      </c>
      <c r="L79" s="5">
        <v>-0.225417905347837</v>
      </c>
      <c r="M79" s="5">
        <v>-0.225417905347837</v>
      </c>
      <c r="N79" s="5">
        <v>6.84483868493648</v>
      </c>
      <c r="O79" s="5">
        <v>6.84483868493648</v>
      </c>
      <c r="P79" s="5">
        <v>6.84483868493648</v>
      </c>
      <c r="Q79" s="5">
        <v>0.0</v>
      </c>
      <c r="R79" s="5">
        <v>0.0</v>
      </c>
      <c r="S79" s="5">
        <v>0.0</v>
      </c>
      <c r="T79" s="5">
        <v>23.3305899778158</v>
      </c>
    </row>
    <row r="80">
      <c r="A80" s="5">
        <v>78.0</v>
      </c>
      <c r="B80" s="6">
        <v>43693.0</v>
      </c>
      <c r="C80" s="5">
        <v>16.7121979369465</v>
      </c>
      <c r="D80" s="5">
        <v>-17.9719586212215</v>
      </c>
      <c r="E80" s="5">
        <v>63.1093478678798</v>
      </c>
      <c r="F80" s="5">
        <v>16.7121979369465</v>
      </c>
      <c r="G80" s="5">
        <v>16.7121979369465</v>
      </c>
      <c r="H80" s="5">
        <v>6.2621475039483</v>
      </c>
      <c r="I80" s="5">
        <v>6.2621475039483</v>
      </c>
      <c r="J80" s="5">
        <v>6.2621475039483</v>
      </c>
      <c r="K80" s="5">
        <v>-0.739640081277355</v>
      </c>
      <c r="L80" s="5">
        <v>-0.739640081277355</v>
      </c>
      <c r="M80" s="5">
        <v>-0.739640081277355</v>
      </c>
      <c r="N80" s="5">
        <v>7.00178758522566</v>
      </c>
      <c r="O80" s="5">
        <v>7.00178758522566</v>
      </c>
      <c r="P80" s="5">
        <v>7.00178758522566</v>
      </c>
      <c r="Q80" s="5">
        <v>0.0</v>
      </c>
      <c r="R80" s="5">
        <v>0.0</v>
      </c>
      <c r="S80" s="5">
        <v>0.0</v>
      </c>
      <c r="T80" s="5">
        <v>22.9743454408948</v>
      </c>
    </row>
    <row r="81">
      <c r="A81" s="5">
        <v>79.0</v>
      </c>
      <c r="B81" s="6">
        <v>43696.0</v>
      </c>
      <c r="C81" s="5">
        <v>16.7152841531046</v>
      </c>
      <c r="D81" s="5">
        <v>-15.998805763291</v>
      </c>
      <c r="E81" s="5">
        <v>66.8198744921704</v>
      </c>
      <c r="F81" s="5">
        <v>16.7152841531046</v>
      </c>
      <c r="G81" s="5">
        <v>16.7152841531046</v>
      </c>
      <c r="H81" s="5">
        <v>8.6313366660783</v>
      </c>
      <c r="I81" s="5">
        <v>8.6313366660783</v>
      </c>
      <c r="J81" s="5">
        <v>8.6313366660783</v>
      </c>
      <c r="K81" s="5">
        <v>1.16457933345014</v>
      </c>
      <c r="L81" s="5">
        <v>1.16457933345014</v>
      </c>
      <c r="M81" s="5">
        <v>1.16457933345014</v>
      </c>
      <c r="N81" s="5">
        <v>7.46675733262815</v>
      </c>
      <c r="O81" s="5">
        <v>7.46675733262815</v>
      </c>
      <c r="P81" s="5">
        <v>7.46675733262815</v>
      </c>
      <c r="Q81" s="5">
        <v>0.0</v>
      </c>
      <c r="R81" s="5">
        <v>0.0</v>
      </c>
      <c r="S81" s="5">
        <v>0.0</v>
      </c>
      <c r="T81" s="5">
        <v>25.3466208191829</v>
      </c>
    </row>
    <row r="82">
      <c r="A82" s="5">
        <v>80.0</v>
      </c>
      <c r="B82" s="6">
        <v>43697.0</v>
      </c>
      <c r="C82" s="5">
        <v>16.7163128918239</v>
      </c>
      <c r="D82" s="5">
        <v>-16.2277973628654</v>
      </c>
      <c r="E82" s="5">
        <v>64.7318501982473</v>
      </c>
      <c r="F82" s="5">
        <v>16.7163128918239</v>
      </c>
      <c r="G82" s="5">
        <v>16.7163128918239</v>
      </c>
      <c r="H82" s="5">
        <v>7.87391924251475</v>
      </c>
      <c r="I82" s="5">
        <v>7.87391924251475</v>
      </c>
      <c r="J82" s="5">
        <v>7.87391924251475</v>
      </c>
      <c r="K82" s="5">
        <v>0.247324772137755</v>
      </c>
      <c r="L82" s="5">
        <v>0.247324772137755</v>
      </c>
      <c r="M82" s="5">
        <v>0.247324772137755</v>
      </c>
      <c r="N82" s="5">
        <v>7.626594470377</v>
      </c>
      <c r="O82" s="5">
        <v>7.626594470377</v>
      </c>
      <c r="P82" s="5">
        <v>7.626594470377</v>
      </c>
      <c r="Q82" s="5">
        <v>0.0</v>
      </c>
      <c r="R82" s="5">
        <v>0.0</v>
      </c>
      <c r="S82" s="5">
        <v>0.0</v>
      </c>
      <c r="T82" s="5">
        <v>24.5902321343387</v>
      </c>
    </row>
    <row r="83">
      <c r="A83" s="5">
        <v>81.0</v>
      </c>
      <c r="B83" s="6">
        <v>43698.0</v>
      </c>
      <c r="C83" s="5">
        <v>16.7173416305433</v>
      </c>
      <c r="D83" s="5">
        <v>-13.2938633441085</v>
      </c>
      <c r="E83" s="5">
        <v>67.5746050190687</v>
      </c>
      <c r="F83" s="5">
        <v>16.7173416305433</v>
      </c>
      <c r="G83" s="5">
        <v>16.7173416305433</v>
      </c>
      <c r="H83" s="5">
        <v>8.40206807442521</v>
      </c>
      <c r="I83" s="5">
        <v>8.40206807442521</v>
      </c>
      <c r="J83" s="5">
        <v>8.40206807442521</v>
      </c>
      <c r="K83" s="5">
        <v>0.608132553625375</v>
      </c>
      <c r="L83" s="5">
        <v>0.608132553625375</v>
      </c>
      <c r="M83" s="5">
        <v>0.608132553625375</v>
      </c>
      <c r="N83" s="5">
        <v>7.79393552079983</v>
      </c>
      <c r="O83" s="5">
        <v>7.79393552079983</v>
      </c>
      <c r="P83" s="5">
        <v>7.79393552079983</v>
      </c>
      <c r="Q83" s="5">
        <v>0.0</v>
      </c>
      <c r="R83" s="5">
        <v>0.0</v>
      </c>
      <c r="S83" s="5">
        <v>0.0</v>
      </c>
      <c r="T83" s="5">
        <v>25.1194097049685</v>
      </c>
    </row>
    <row r="84">
      <c r="A84" s="5">
        <v>82.0</v>
      </c>
      <c r="B84" s="6">
        <v>43699.0</v>
      </c>
      <c r="C84" s="5">
        <v>16.7183717771382</v>
      </c>
      <c r="D84" s="5">
        <v>-14.2997882878534</v>
      </c>
      <c r="E84" s="5">
        <v>68.547278951667</v>
      </c>
      <c r="F84" s="5">
        <v>16.7183717771382</v>
      </c>
      <c r="G84" s="5">
        <v>16.7183717771382</v>
      </c>
      <c r="H84" s="5">
        <v>7.74722213381336</v>
      </c>
      <c r="I84" s="5">
        <v>7.74722213381336</v>
      </c>
      <c r="J84" s="5">
        <v>7.74722213381336</v>
      </c>
      <c r="K84" s="5">
        <v>-0.225417905347416</v>
      </c>
      <c r="L84" s="5">
        <v>-0.225417905347416</v>
      </c>
      <c r="M84" s="5">
        <v>-0.225417905347416</v>
      </c>
      <c r="N84" s="5">
        <v>7.97264003916078</v>
      </c>
      <c r="O84" s="5">
        <v>7.97264003916078</v>
      </c>
      <c r="P84" s="5">
        <v>7.97264003916078</v>
      </c>
      <c r="Q84" s="5">
        <v>0.0</v>
      </c>
      <c r="R84" s="5">
        <v>0.0</v>
      </c>
      <c r="S84" s="5">
        <v>0.0</v>
      </c>
      <c r="T84" s="5">
        <v>24.4655939109516</v>
      </c>
    </row>
    <row r="85">
      <c r="A85" s="5">
        <v>83.0</v>
      </c>
      <c r="B85" s="6">
        <v>43700.0</v>
      </c>
      <c r="C85" s="5">
        <v>16.7194019237332</v>
      </c>
      <c r="D85" s="5">
        <v>-17.1458316346619</v>
      </c>
      <c r="E85" s="5">
        <v>64.2864102988546</v>
      </c>
      <c r="F85" s="5">
        <v>16.7194019237332</v>
      </c>
      <c r="G85" s="5">
        <v>16.7194019237332</v>
      </c>
      <c r="H85" s="5">
        <v>7.4272786233615</v>
      </c>
      <c r="I85" s="5">
        <v>7.4272786233615</v>
      </c>
      <c r="J85" s="5">
        <v>7.4272786233615</v>
      </c>
      <c r="K85" s="5">
        <v>-0.739640081281943</v>
      </c>
      <c r="L85" s="5">
        <v>-0.739640081281943</v>
      </c>
      <c r="M85" s="5">
        <v>-0.739640081281943</v>
      </c>
      <c r="N85" s="5">
        <v>8.16691870464344</v>
      </c>
      <c r="O85" s="5">
        <v>8.16691870464344</v>
      </c>
      <c r="P85" s="5">
        <v>8.16691870464344</v>
      </c>
      <c r="Q85" s="5">
        <v>0.0</v>
      </c>
      <c r="R85" s="5">
        <v>0.0</v>
      </c>
      <c r="S85" s="5">
        <v>0.0</v>
      </c>
      <c r="T85" s="5">
        <v>24.1466805470947</v>
      </c>
    </row>
    <row r="86">
      <c r="A86" s="5">
        <v>84.0</v>
      </c>
      <c r="B86" s="6">
        <v>43703.0</v>
      </c>
      <c r="C86" s="5">
        <v>16.722492363518</v>
      </c>
      <c r="D86" s="5">
        <v>-13.9652591920596</v>
      </c>
      <c r="E86" s="5">
        <v>67.0776769071343</v>
      </c>
      <c r="F86" s="5">
        <v>16.722492363518</v>
      </c>
      <c r="G86" s="5">
        <v>16.722492363518</v>
      </c>
      <c r="H86" s="5">
        <v>10.051414235492</v>
      </c>
      <c r="I86" s="5">
        <v>10.051414235492</v>
      </c>
      <c r="J86" s="5">
        <v>10.051414235492</v>
      </c>
      <c r="K86" s="5">
        <v>1.16457933345048</v>
      </c>
      <c r="L86" s="5">
        <v>1.16457933345048</v>
      </c>
      <c r="M86" s="5">
        <v>1.16457933345048</v>
      </c>
      <c r="N86" s="5">
        <v>8.88683490204158</v>
      </c>
      <c r="O86" s="5">
        <v>8.88683490204158</v>
      </c>
      <c r="P86" s="5">
        <v>8.88683490204158</v>
      </c>
      <c r="Q86" s="5">
        <v>0.0</v>
      </c>
      <c r="R86" s="5">
        <v>0.0</v>
      </c>
      <c r="S86" s="5">
        <v>0.0</v>
      </c>
      <c r="T86" s="5">
        <v>26.77390659901</v>
      </c>
    </row>
    <row r="87">
      <c r="A87" s="5">
        <v>85.0</v>
      </c>
      <c r="B87" s="6">
        <v>43704.0</v>
      </c>
      <c r="C87" s="5">
        <v>16.7235225101129</v>
      </c>
      <c r="D87" s="5">
        <v>-15.3038466389677</v>
      </c>
      <c r="E87" s="5">
        <v>65.81020184058</v>
      </c>
      <c r="F87" s="5">
        <v>16.7235225101129</v>
      </c>
      <c r="G87" s="5">
        <v>16.7235225101129</v>
      </c>
      <c r="H87" s="5">
        <v>9.43348010882469</v>
      </c>
      <c r="I87" s="5">
        <v>9.43348010882469</v>
      </c>
      <c r="J87" s="5">
        <v>9.43348010882469</v>
      </c>
      <c r="K87" s="5">
        <v>0.24732477213642</v>
      </c>
      <c r="L87" s="5">
        <v>0.24732477213642</v>
      </c>
      <c r="M87" s="5">
        <v>0.24732477213642</v>
      </c>
      <c r="N87" s="5">
        <v>9.18615533668827</v>
      </c>
      <c r="O87" s="5">
        <v>9.18615533668827</v>
      </c>
      <c r="P87" s="5">
        <v>9.18615533668827</v>
      </c>
      <c r="Q87" s="5">
        <v>0.0</v>
      </c>
      <c r="R87" s="5">
        <v>0.0</v>
      </c>
      <c r="S87" s="5">
        <v>0.0</v>
      </c>
      <c r="T87" s="5">
        <v>26.1570026189376</v>
      </c>
    </row>
    <row r="88">
      <c r="A88" s="5">
        <v>86.0</v>
      </c>
      <c r="B88" s="6">
        <v>43705.0</v>
      </c>
      <c r="C88" s="5">
        <v>16.7245526567078</v>
      </c>
      <c r="D88" s="5">
        <v>-10.9537325827061</v>
      </c>
      <c r="E88" s="5">
        <v>70.6381048317032</v>
      </c>
      <c r="F88" s="5">
        <v>16.7245526567078</v>
      </c>
      <c r="G88" s="5">
        <v>16.7245526567078</v>
      </c>
      <c r="H88" s="5">
        <v>10.1289297952093</v>
      </c>
      <c r="I88" s="5">
        <v>10.1289297952093</v>
      </c>
      <c r="J88" s="5">
        <v>10.1289297952093</v>
      </c>
      <c r="K88" s="5">
        <v>0.608132553627931</v>
      </c>
      <c r="L88" s="5">
        <v>0.608132553627931</v>
      </c>
      <c r="M88" s="5">
        <v>0.608132553627931</v>
      </c>
      <c r="N88" s="5">
        <v>9.52079724158137</v>
      </c>
      <c r="O88" s="5">
        <v>9.52079724158137</v>
      </c>
      <c r="P88" s="5">
        <v>9.52079724158137</v>
      </c>
      <c r="Q88" s="5">
        <v>0.0</v>
      </c>
      <c r="R88" s="5">
        <v>0.0</v>
      </c>
      <c r="S88" s="5">
        <v>0.0</v>
      </c>
      <c r="T88" s="5">
        <v>26.8534824519171</v>
      </c>
    </row>
    <row r="89">
      <c r="A89" s="5">
        <v>87.0</v>
      </c>
      <c r="B89" s="6">
        <v>43706.0</v>
      </c>
      <c r="C89" s="5">
        <v>16.7255828033028</v>
      </c>
      <c r="D89" s="5">
        <v>-15.8177576581097</v>
      </c>
      <c r="E89" s="5">
        <v>67.1245884161409</v>
      </c>
      <c r="F89" s="5">
        <v>16.7255828033028</v>
      </c>
      <c r="G89" s="5">
        <v>16.7255828033028</v>
      </c>
      <c r="H89" s="5">
        <v>9.66758768194028</v>
      </c>
      <c r="I89" s="5">
        <v>9.66758768194028</v>
      </c>
      <c r="J89" s="5">
        <v>9.66758768194028</v>
      </c>
      <c r="K89" s="5">
        <v>-0.225417905346995</v>
      </c>
      <c r="L89" s="5">
        <v>-0.225417905346995</v>
      </c>
      <c r="M89" s="5">
        <v>-0.225417905346995</v>
      </c>
      <c r="N89" s="5">
        <v>9.89300558728727</v>
      </c>
      <c r="O89" s="5">
        <v>9.89300558728727</v>
      </c>
      <c r="P89" s="5">
        <v>9.89300558728727</v>
      </c>
      <c r="Q89" s="5">
        <v>0.0</v>
      </c>
      <c r="R89" s="5">
        <v>0.0</v>
      </c>
      <c r="S89" s="5">
        <v>0.0</v>
      </c>
      <c r="T89" s="5">
        <v>26.393170485243</v>
      </c>
    </row>
    <row r="90">
      <c r="A90" s="5">
        <v>88.0</v>
      </c>
      <c r="B90" s="6">
        <v>43707.0</v>
      </c>
      <c r="C90" s="5">
        <v>16.7266129498977</v>
      </c>
      <c r="D90" s="5">
        <v>-15.0725931978367</v>
      </c>
      <c r="E90" s="5">
        <v>64.5432680786114</v>
      </c>
      <c r="F90" s="5">
        <v>16.7266129498977</v>
      </c>
      <c r="G90" s="5">
        <v>16.7266129498977</v>
      </c>
      <c r="H90" s="5">
        <v>9.56435516362511</v>
      </c>
      <c r="I90" s="5">
        <v>9.56435516362511</v>
      </c>
      <c r="J90" s="5">
        <v>9.56435516362511</v>
      </c>
      <c r="K90" s="5">
        <v>-0.739640081278636</v>
      </c>
      <c r="L90" s="5">
        <v>-0.739640081278636</v>
      </c>
      <c r="M90" s="5">
        <v>-0.739640081278636</v>
      </c>
      <c r="N90" s="5">
        <v>10.3039952449037</v>
      </c>
      <c r="O90" s="5">
        <v>10.3039952449037</v>
      </c>
      <c r="P90" s="5">
        <v>10.3039952449037</v>
      </c>
      <c r="Q90" s="5">
        <v>0.0</v>
      </c>
      <c r="R90" s="5">
        <v>0.0</v>
      </c>
      <c r="S90" s="5">
        <v>0.0</v>
      </c>
      <c r="T90" s="5">
        <v>26.2909681135228</v>
      </c>
    </row>
    <row r="91">
      <c r="A91" s="5">
        <v>89.0</v>
      </c>
      <c r="B91" s="6">
        <v>43711.0</v>
      </c>
      <c r="C91" s="5">
        <v>16.7307335362774</v>
      </c>
      <c r="D91" s="5">
        <v>-10.6492271371097</v>
      </c>
      <c r="E91" s="5">
        <v>70.4701960321767</v>
      </c>
      <c r="F91" s="5">
        <v>16.7307335362774</v>
      </c>
      <c r="G91" s="5">
        <v>16.7307335362774</v>
      </c>
      <c r="H91" s="5">
        <v>12.5631424762318</v>
      </c>
      <c r="I91" s="5">
        <v>12.5631424762318</v>
      </c>
      <c r="J91" s="5">
        <v>12.5631424762318</v>
      </c>
      <c r="K91" s="5">
        <v>0.247324772137931</v>
      </c>
      <c r="L91" s="5">
        <v>0.247324772137931</v>
      </c>
      <c r="M91" s="5">
        <v>0.247324772137931</v>
      </c>
      <c r="N91" s="5">
        <v>12.3158177040938</v>
      </c>
      <c r="O91" s="5">
        <v>12.3158177040938</v>
      </c>
      <c r="P91" s="5">
        <v>12.3158177040938</v>
      </c>
      <c r="Q91" s="5">
        <v>0.0</v>
      </c>
      <c r="R91" s="5">
        <v>0.0</v>
      </c>
      <c r="S91" s="5">
        <v>0.0</v>
      </c>
      <c r="T91" s="5">
        <v>29.2938760125092</v>
      </c>
    </row>
    <row r="92">
      <c r="A92" s="5">
        <v>90.0</v>
      </c>
      <c r="B92" s="6">
        <v>43712.0</v>
      </c>
      <c r="C92" s="5">
        <v>16.7317636828723</v>
      </c>
      <c r="D92" s="5">
        <v>-14.6942858813414</v>
      </c>
      <c r="E92" s="5">
        <v>68.6006939385014</v>
      </c>
      <c r="F92" s="5">
        <v>16.7317636828723</v>
      </c>
      <c r="G92" s="5">
        <v>16.7317636828723</v>
      </c>
      <c r="H92" s="5">
        <v>13.5015178913724</v>
      </c>
      <c r="I92" s="5">
        <v>13.5015178913724</v>
      </c>
      <c r="J92" s="5">
        <v>13.5015178913724</v>
      </c>
      <c r="K92" s="5">
        <v>0.60813255362515</v>
      </c>
      <c r="L92" s="5">
        <v>0.60813255362515</v>
      </c>
      <c r="M92" s="5">
        <v>0.60813255362515</v>
      </c>
      <c r="N92" s="5">
        <v>12.8933853377473</v>
      </c>
      <c r="O92" s="5">
        <v>12.8933853377473</v>
      </c>
      <c r="P92" s="5">
        <v>12.8933853377473</v>
      </c>
      <c r="Q92" s="5">
        <v>0.0</v>
      </c>
      <c r="R92" s="5">
        <v>0.0</v>
      </c>
      <c r="S92" s="5">
        <v>0.0</v>
      </c>
      <c r="T92" s="5">
        <v>30.2332815742448</v>
      </c>
    </row>
    <row r="93">
      <c r="A93" s="5">
        <v>91.0</v>
      </c>
      <c r="B93" s="6">
        <v>43713.0</v>
      </c>
      <c r="C93" s="5">
        <v>16.7327938294673</v>
      </c>
      <c r="D93" s="5">
        <v>-13.0525770234068</v>
      </c>
      <c r="E93" s="5">
        <v>71.1523156797302</v>
      </c>
      <c r="F93" s="5">
        <v>16.7327938294673</v>
      </c>
      <c r="G93" s="5">
        <v>16.7327938294673</v>
      </c>
      <c r="H93" s="5">
        <v>13.2633241619367</v>
      </c>
      <c r="I93" s="5">
        <v>13.2633241619367</v>
      </c>
      <c r="J93" s="5">
        <v>13.2633241619367</v>
      </c>
      <c r="K93" s="5">
        <v>-0.225417905348997</v>
      </c>
      <c r="L93" s="5">
        <v>-0.225417905348997</v>
      </c>
      <c r="M93" s="5">
        <v>-0.225417905348997</v>
      </c>
      <c r="N93" s="5">
        <v>13.4887420672857</v>
      </c>
      <c r="O93" s="5">
        <v>13.4887420672857</v>
      </c>
      <c r="P93" s="5">
        <v>13.4887420672857</v>
      </c>
      <c r="Q93" s="5">
        <v>0.0</v>
      </c>
      <c r="R93" s="5">
        <v>0.0</v>
      </c>
      <c r="S93" s="5">
        <v>0.0</v>
      </c>
      <c r="T93" s="5">
        <v>29.996117991404</v>
      </c>
    </row>
    <row r="94">
      <c r="A94" s="5">
        <v>92.0</v>
      </c>
      <c r="B94" s="6">
        <v>43714.0</v>
      </c>
      <c r="C94" s="5">
        <v>16.7338239760622</v>
      </c>
      <c r="D94" s="5">
        <v>-10.3118946748193</v>
      </c>
      <c r="E94" s="5">
        <v>71.1432368424733</v>
      </c>
      <c r="F94" s="5">
        <v>16.7338239760622</v>
      </c>
      <c r="G94" s="5">
        <v>16.7338239760622</v>
      </c>
      <c r="H94" s="5">
        <v>13.3537746249415</v>
      </c>
      <c r="I94" s="5">
        <v>13.3537746249415</v>
      </c>
      <c r="J94" s="5">
        <v>13.3537746249415</v>
      </c>
      <c r="K94" s="5">
        <v>-0.739640081279792</v>
      </c>
      <c r="L94" s="5">
        <v>-0.739640081279792</v>
      </c>
      <c r="M94" s="5">
        <v>-0.739640081279792</v>
      </c>
      <c r="N94" s="5">
        <v>14.0934147062213</v>
      </c>
      <c r="O94" s="5">
        <v>14.0934147062213</v>
      </c>
      <c r="P94" s="5">
        <v>14.0934147062213</v>
      </c>
      <c r="Q94" s="5">
        <v>0.0</v>
      </c>
      <c r="R94" s="5">
        <v>0.0</v>
      </c>
      <c r="S94" s="5">
        <v>0.0</v>
      </c>
      <c r="T94" s="5">
        <v>30.0875986010038</v>
      </c>
    </row>
    <row r="95">
      <c r="A95" s="5">
        <v>93.0</v>
      </c>
      <c r="B95" s="6">
        <v>43717.0</v>
      </c>
      <c r="C95" s="5">
        <v>16.736914415847</v>
      </c>
      <c r="D95" s="5">
        <v>-6.35647255672829</v>
      </c>
      <c r="E95" s="5">
        <v>76.023340145133</v>
      </c>
      <c r="F95" s="5">
        <v>16.736914415847</v>
      </c>
      <c r="G95" s="5">
        <v>16.736914415847</v>
      </c>
      <c r="H95" s="5">
        <v>17.0260386349981</v>
      </c>
      <c r="I95" s="5">
        <v>17.0260386349981</v>
      </c>
      <c r="J95" s="5">
        <v>17.0260386349981</v>
      </c>
      <c r="K95" s="5">
        <v>1.16457933345115</v>
      </c>
      <c r="L95" s="5">
        <v>1.16457933345115</v>
      </c>
      <c r="M95" s="5">
        <v>1.16457933345115</v>
      </c>
      <c r="N95" s="5">
        <v>15.861459301547</v>
      </c>
      <c r="O95" s="5">
        <v>15.861459301547</v>
      </c>
      <c r="P95" s="5">
        <v>15.861459301547</v>
      </c>
      <c r="Q95" s="5">
        <v>0.0</v>
      </c>
      <c r="R95" s="5">
        <v>0.0</v>
      </c>
      <c r="S95" s="5">
        <v>0.0</v>
      </c>
      <c r="T95" s="5">
        <v>33.7629530508452</v>
      </c>
    </row>
    <row r="96">
      <c r="A96" s="5">
        <v>94.0</v>
      </c>
      <c r="B96" s="6">
        <v>43718.0</v>
      </c>
      <c r="C96" s="5">
        <v>16.7379445624419</v>
      </c>
      <c r="D96" s="5">
        <v>-5.19391763445245</v>
      </c>
      <c r="E96" s="5">
        <v>73.8923573210196</v>
      </c>
      <c r="F96" s="5">
        <v>16.7379445624419</v>
      </c>
      <c r="G96" s="5">
        <v>16.7379445624419</v>
      </c>
      <c r="H96" s="5">
        <v>16.644604902345</v>
      </c>
      <c r="I96" s="5">
        <v>16.644604902345</v>
      </c>
      <c r="J96" s="5">
        <v>16.644604902345</v>
      </c>
      <c r="K96" s="5">
        <v>0.247324772137246</v>
      </c>
      <c r="L96" s="5">
        <v>0.247324772137246</v>
      </c>
      <c r="M96" s="5">
        <v>0.247324772137246</v>
      </c>
      <c r="N96" s="5">
        <v>16.3972801302078</v>
      </c>
      <c r="O96" s="5">
        <v>16.3972801302078</v>
      </c>
      <c r="P96" s="5">
        <v>16.3972801302078</v>
      </c>
      <c r="Q96" s="5">
        <v>0.0</v>
      </c>
      <c r="R96" s="5">
        <v>0.0</v>
      </c>
      <c r="S96" s="5">
        <v>0.0</v>
      </c>
      <c r="T96" s="5">
        <v>33.382549464787</v>
      </c>
    </row>
    <row r="97">
      <c r="A97" s="5">
        <v>95.0</v>
      </c>
      <c r="B97" s="6">
        <v>43719.0</v>
      </c>
      <c r="C97" s="5">
        <v>16.7389747090369</v>
      </c>
      <c r="D97" s="5">
        <v>-7.02424155022696</v>
      </c>
      <c r="E97" s="5">
        <v>71.6436510633392</v>
      </c>
      <c r="F97" s="5">
        <v>16.7389747090369</v>
      </c>
      <c r="G97" s="5">
        <v>16.7389747090369</v>
      </c>
      <c r="H97" s="5">
        <v>17.4941527156402</v>
      </c>
      <c r="I97" s="5">
        <v>17.4941527156402</v>
      </c>
      <c r="J97" s="5">
        <v>17.4941527156402</v>
      </c>
      <c r="K97" s="5">
        <v>0.608132553626929</v>
      </c>
      <c r="L97" s="5">
        <v>0.608132553626929</v>
      </c>
      <c r="M97" s="5">
        <v>0.608132553626929</v>
      </c>
      <c r="N97" s="5">
        <v>16.8860201620133</v>
      </c>
      <c r="O97" s="5">
        <v>16.8860201620133</v>
      </c>
      <c r="P97" s="5">
        <v>16.8860201620133</v>
      </c>
      <c r="Q97" s="5">
        <v>0.0</v>
      </c>
      <c r="R97" s="5">
        <v>0.0</v>
      </c>
      <c r="S97" s="5">
        <v>0.0</v>
      </c>
      <c r="T97" s="5">
        <v>34.2331274246771</v>
      </c>
    </row>
    <row r="98">
      <c r="A98" s="5">
        <v>96.0</v>
      </c>
      <c r="B98" s="6">
        <v>43720.0</v>
      </c>
      <c r="C98" s="5">
        <v>16.7400048556318</v>
      </c>
      <c r="D98" s="5">
        <v>-4.4391516391444</v>
      </c>
      <c r="E98" s="5">
        <v>71.6107775838625</v>
      </c>
      <c r="F98" s="5">
        <v>16.7400048556318</v>
      </c>
      <c r="G98" s="5">
        <v>16.7400048556318</v>
      </c>
      <c r="H98" s="5">
        <v>17.0899682448208</v>
      </c>
      <c r="I98" s="5">
        <v>17.0899682448208</v>
      </c>
      <c r="J98" s="5">
        <v>17.0899682448208</v>
      </c>
      <c r="K98" s="5">
        <v>-0.225417905348576</v>
      </c>
      <c r="L98" s="5">
        <v>-0.225417905348576</v>
      </c>
      <c r="M98" s="5">
        <v>-0.225417905348576</v>
      </c>
      <c r="N98" s="5">
        <v>17.3153861501693</v>
      </c>
      <c r="O98" s="5">
        <v>17.3153861501693</v>
      </c>
      <c r="P98" s="5">
        <v>17.3153861501693</v>
      </c>
      <c r="Q98" s="5">
        <v>0.0</v>
      </c>
      <c r="R98" s="5">
        <v>0.0</v>
      </c>
      <c r="S98" s="5">
        <v>0.0</v>
      </c>
      <c r="T98" s="5">
        <v>33.8299731004526</v>
      </c>
    </row>
    <row r="99">
      <c r="A99" s="5">
        <v>97.0</v>
      </c>
      <c r="B99" s="6">
        <v>43721.0</v>
      </c>
      <c r="C99" s="5">
        <v>16.7410350022267</v>
      </c>
      <c r="D99" s="5">
        <v>-6.62502780874232</v>
      </c>
      <c r="E99" s="5">
        <v>77.1096485274306</v>
      </c>
      <c r="F99" s="5">
        <v>16.7410350022267</v>
      </c>
      <c r="G99" s="5">
        <v>16.7410350022267</v>
      </c>
      <c r="H99" s="5">
        <v>16.9338294821425</v>
      </c>
      <c r="I99" s="5">
        <v>16.9338294821425</v>
      </c>
      <c r="J99" s="5">
        <v>16.9338294821425</v>
      </c>
      <c r="K99" s="5">
        <v>-0.739640081280947</v>
      </c>
      <c r="L99" s="5">
        <v>-0.739640081280947</v>
      </c>
      <c r="M99" s="5">
        <v>-0.739640081280947</v>
      </c>
      <c r="N99" s="5">
        <v>17.6734695634235</v>
      </c>
      <c r="O99" s="5">
        <v>17.6734695634235</v>
      </c>
      <c r="P99" s="5">
        <v>17.6734695634235</v>
      </c>
      <c r="Q99" s="5">
        <v>0.0</v>
      </c>
      <c r="R99" s="5">
        <v>0.0</v>
      </c>
      <c r="S99" s="5">
        <v>0.0</v>
      </c>
      <c r="T99" s="5">
        <v>33.6748644843693</v>
      </c>
    </row>
    <row r="100">
      <c r="A100" s="5">
        <v>98.0</v>
      </c>
      <c r="B100" s="6">
        <v>43724.0</v>
      </c>
      <c r="C100" s="5">
        <v>16.7441254420115</v>
      </c>
      <c r="D100" s="5">
        <v>-4.66030873323375</v>
      </c>
      <c r="E100" s="5">
        <v>75.1407656822601</v>
      </c>
      <c r="F100" s="5">
        <v>16.7441254420115</v>
      </c>
      <c r="G100" s="5">
        <v>16.7441254420115</v>
      </c>
      <c r="H100" s="5">
        <v>19.378264366067</v>
      </c>
      <c r="I100" s="5">
        <v>19.378264366067</v>
      </c>
      <c r="J100" s="5">
        <v>19.378264366067</v>
      </c>
      <c r="K100" s="5">
        <v>1.16457933345052</v>
      </c>
      <c r="L100" s="5">
        <v>1.16457933345052</v>
      </c>
      <c r="M100" s="5">
        <v>1.16457933345052</v>
      </c>
      <c r="N100" s="5">
        <v>18.2136850326165</v>
      </c>
      <c r="O100" s="5">
        <v>18.2136850326165</v>
      </c>
      <c r="P100" s="5">
        <v>18.2136850326165</v>
      </c>
      <c r="Q100" s="5">
        <v>0.0</v>
      </c>
      <c r="R100" s="5">
        <v>0.0</v>
      </c>
      <c r="S100" s="5">
        <v>0.0</v>
      </c>
      <c r="T100" s="5">
        <v>36.1223898080786</v>
      </c>
    </row>
    <row r="101">
      <c r="A101" s="5">
        <v>99.0</v>
      </c>
      <c r="B101" s="6">
        <v>43725.0</v>
      </c>
      <c r="C101" s="5">
        <v>16.7451555886065</v>
      </c>
      <c r="D101" s="5">
        <v>-4.58422502202268</v>
      </c>
      <c r="E101" s="5">
        <v>76.6328781653491</v>
      </c>
      <c r="F101" s="5">
        <v>16.7451555886065</v>
      </c>
      <c r="G101" s="5">
        <v>16.7451555886065</v>
      </c>
      <c r="H101" s="5">
        <v>18.4341024985352</v>
      </c>
      <c r="I101" s="5">
        <v>18.4341024985352</v>
      </c>
      <c r="J101" s="5">
        <v>18.4341024985352</v>
      </c>
      <c r="K101" s="5">
        <v>0.247324772137334</v>
      </c>
      <c r="L101" s="5">
        <v>0.247324772137334</v>
      </c>
      <c r="M101" s="5">
        <v>0.247324772137334</v>
      </c>
      <c r="N101" s="5">
        <v>18.1867777263978</v>
      </c>
      <c r="O101" s="5">
        <v>18.1867777263978</v>
      </c>
      <c r="P101" s="5">
        <v>18.1867777263978</v>
      </c>
      <c r="Q101" s="5">
        <v>0.0</v>
      </c>
      <c r="R101" s="5">
        <v>0.0</v>
      </c>
      <c r="S101" s="5">
        <v>0.0</v>
      </c>
      <c r="T101" s="5">
        <v>35.1792580871417</v>
      </c>
    </row>
    <row r="102">
      <c r="A102" s="5">
        <v>100.0</v>
      </c>
      <c r="B102" s="6">
        <v>43726.0</v>
      </c>
      <c r="C102" s="5">
        <v>16.7461857352014</v>
      </c>
      <c r="D102" s="5">
        <v>-4.45513859806096</v>
      </c>
      <c r="E102" s="5">
        <v>74.9575848080294</v>
      </c>
      <c r="F102" s="5">
        <v>16.7461857352014</v>
      </c>
      <c r="G102" s="5">
        <v>16.7461857352014</v>
      </c>
      <c r="H102" s="5">
        <v>18.6542788678</v>
      </c>
      <c r="I102" s="5">
        <v>18.6542788678</v>
      </c>
      <c r="J102" s="5">
        <v>18.6542788678</v>
      </c>
      <c r="K102" s="5">
        <v>0.608132553626039</v>
      </c>
      <c r="L102" s="5">
        <v>0.608132553626039</v>
      </c>
      <c r="M102" s="5">
        <v>0.608132553626039</v>
      </c>
      <c r="N102" s="5">
        <v>18.046146314174</v>
      </c>
      <c r="O102" s="5">
        <v>18.046146314174</v>
      </c>
      <c r="P102" s="5">
        <v>18.046146314174</v>
      </c>
      <c r="Q102" s="5">
        <v>0.0</v>
      </c>
      <c r="R102" s="5">
        <v>0.0</v>
      </c>
      <c r="S102" s="5">
        <v>0.0</v>
      </c>
      <c r="T102" s="5">
        <v>35.4004646030015</v>
      </c>
    </row>
    <row r="103">
      <c r="A103" s="5">
        <v>101.0</v>
      </c>
      <c r="B103" s="6">
        <v>43727.0</v>
      </c>
      <c r="C103" s="5">
        <v>16.7472158817963</v>
      </c>
      <c r="D103" s="5">
        <v>-6.94851140115819</v>
      </c>
      <c r="E103" s="5">
        <v>74.8481539420079</v>
      </c>
      <c r="F103" s="5">
        <v>16.7472158817963</v>
      </c>
      <c r="G103" s="5">
        <v>16.7472158817963</v>
      </c>
      <c r="H103" s="5">
        <v>17.5632915024013</v>
      </c>
      <c r="I103" s="5">
        <v>17.5632915024013</v>
      </c>
      <c r="J103" s="5">
        <v>17.5632915024013</v>
      </c>
      <c r="K103" s="5">
        <v>-0.22541790535154</v>
      </c>
      <c r="L103" s="5">
        <v>-0.22541790535154</v>
      </c>
      <c r="M103" s="5">
        <v>-0.22541790535154</v>
      </c>
      <c r="N103" s="5">
        <v>17.7887094077528</v>
      </c>
      <c r="O103" s="5">
        <v>17.7887094077528</v>
      </c>
      <c r="P103" s="5">
        <v>17.7887094077528</v>
      </c>
      <c r="Q103" s="5">
        <v>0.0</v>
      </c>
      <c r="R103" s="5">
        <v>0.0</v>
      </c>
      <c r="S103" s="5">
        <v>0.0</v>
      </c>
      <c r="T103" s="5">
        <v>34.3105073841976</v>
      </c>
    </row>
    <row r="104">
      <c r="A104" s="5">
        <v>102.0</v>
      </c>
      <c r="B104" s="6">
        <v>43728.0</v>
      </c>
      <c r="C104" s="5">
        <v>16.7482460283913</v>
      </c>
      <c r="D104" s="5">
        <v>-6.05541992808942</v>
      </c>
      <c r="E104" s="5">
        <v>69.8174750396785</v>
      </c>
      <c r="F104" s="5">
        <v>16.7482460283913</v>
      </c>
      <c r="G104" s="5">
        <v>16.7482460283913</v>
      </c>
      <c r="H104" s="5">
        <v>16.6740413166505</v>
      </c>
      <c r="I104" s="5">
        <v>16.6740413166505</v>
      </c>
      <c r="J104" s="5">
        <v>16.6740413166505</v>
      </c>
      <c r="K104" s="5">
        <v>-0.739640081282103</v>
      </c>
      <c r="L104" s="5">
        <v>-0.739640081282103</v>
      </c>
      <c r="M104" s="5">
        <v>-0.739640081282103</v>
      </c>
      <c r="N104" s="5">
        <v>17.4136813979326</v>
      </c>
      <c r="O104" s="5">
        <v>17.4136813979326</v>
      </c>
      <c r="P104" s="5">
        <v>17.4136813979326</v>
      </c>
      <c r="Q104" s="5">
        <v>0.0</v>
      </c>
      <c r="R104" s="5">
        <v>0.0</v>
      </c>
      <c r="S104" s="5">
        <v>0.0</v>
      </c>
      <c r="T104" s="5">
        <v>33.4222873450418</v>
      </c>
    </row>
    <row r="105">
      <c r="A105" s="5">
        <v>103.0</v>
      </c>
      <c r="B105" s="6">
        <v>43731.0</v>
      </c>
      <c r="C105" s="5">
        <v>16.7513364681761</v>
      </c>
      <c r="D105" s="5">
        <v>-7.13007100221404</v>
      </c>
      <c r="E105" s="5">
        <v>72.6869711949867</v>
      </c>
      <c r="F105" s="5">
        <v>16.7513364681761</v>
      </c>
      <c r="G105" s="5">
        <v>16.7513364681761</v>
      </c>
      <c r="H105" s="5">
        <v>16.776130691654</v>
      </c>
      <c r="I105" s="5">
        <v>16.776130691654</v>
      </c>
      <c r="J105" s="5">
        <v>16.776130691654</v>
      </c>
      <c r="K105" s="5">
        <v>1.16457933345086</v>
      </c>
      <c r="L105" s="5">
        <v>1.16457933345086</v>
      </c>
      <c r="M105" s="5">
        <v>1.16457933345086</v>
      </c>
      <c r="N105" s="5">
        <v>15.6115513582031</v>
      </c>
      <c r="O105" s="5">
        <v>15.6115513582031</v>
      </c>
      <c r="P105" s="5">
        <v>15.6115513582031</v>
      </c>
      <c r="Q105" s="5">
        <v>0.0</v>
      </c>
      <c r="R105" s="5">
        <v>0.0</v>
      </c>
      <c r="S105" s="5">
        <v>0.0</v>
      </c>
      <c r="T105" s="5">
        <v>33.5274671598301</v>
      </c>
    </row>
    <row r="106">
      <c r="A106" s="5">
        <v>104.0</v>
      </c>
      <c r="B106" s="6">
        <v>43732.0</v>
      </c>
      <c r="C106" s="5">
        <v>16.752366614771</v>
      </c>
      <c r="D106" s="5">
        <v>-11.2193050414424</v>
      </c>
      <c r="E106" s="5">
        <v>74.381454931824</v>
      </c>
      <c r="F106" s="5">
        <v>16.752366614771</v>
      </c>
      <c r="G106" s="5">
        <v>16.752366614771</v>
      </c>
      <c r="H106" s="5">
        <v>15.0541676523664</v>
      </c>
      <c r="I106" s="5">
        <v>15.0541676523664</v>
      </c>
      <c r="J106" s="5">
        <v>15.0541676523664</v>
      </c>
      <c r="K106" s="5">
        <v>0.247324772138071</v>
      </c>
      <c r="L106" s="5">
        <v>0.247324772138071</v>
      </c>
      <c r="M106" s="5">
        <v>0.247324772138071</v>
      </c>
      <c r="N106" s="5">
        <v>14.8068428802283</v>
      </c>
      <c r="O106" s="5">
        <v>14.8068428802283</v>
      </c>
      <c r="P106" s="5">
        <v>14.8068428802283</v>
      </c>
      <c r="Q106" s="5">
        <v>0.0</v>
      </c>
      <c r="R106" s="5">
        <v>0.0</v>
      </c>
      <c r="S106" s="5">
        <v>0.0</v>
      </c>
      <c r="T106" s="5">
        <v>31.8065342671375</v>
      </c>
    </row>
    <row r="107">
      <c r="A107" s="5">
        <v>105.0</v>
      </c>
      <c r="B107" s="6">
        <v>43733.0</v>
      </c>
      <c r="C107" s="5">
        <v>16.7533967613659</v>
      </c>
      <c r="D107" s="5">
        <v>-11.6212553007899</v>
      </c>
      <c r="E107" s="5">
        <v>73.0251100541327</v>
      </c>
      <c r="F107" s="5">
        <v>16.7533967613659</v>
      </c>
      <c r="G107" s="5">
        <v>16.7533967613659</v>
      </c>
      <c r="H107" s="5">
        <v>14.5249350841729</v>
      </c>
      <c r="I107" s="5">
        <v>14.5249350841729</v>
      </c>
      <c r="J107" s="5">
        <v>14.5249350841729</v>
      </c>
      <c r="K107" s="5">
        <v>0.608132553625149</v>
      </c>
      <c r="L107" s="5">
        <v>0.608132553625149</v>
      </c>
      <c r="M107" s="5">
        <v>0.608132553625149</v>
      </c>
      <c r="N107" s="5">
        <v>13.9168025305478</v>
      </c>
      <c r="O107" s="5">
        <v>13.9168025305478</v>
      </c>
      <c r="P107" s="5">
        <v>13.9168025305478</v>
      </c>
      <c r="Q107" s="5">
        <v>0.0</v>
      </c>
      <c r="R107" s="5">
        <v>0.0</v>
      </c>
      <c r="S107" s="5">
        <v>0.0</v>
      </c>
      <c r="T107" s="5">
        <v>31.2783318455389</v>
      </c>
    </row>
    <row r="108">
      <c r="A108" s="5">
        <v>106.0</v>
      </c>
      <c r="B108" s="6">
        <v>43734.0</v>
      </c>
      <c r="C108" s="5">
        <v>16.7544269079608</v>
      </c>
      <c r="D108" s="5">
        <v>-11.450678812973</v>
      </c>
      <c r="E108" s="5">
        <v>70.1973623817127</v>
      </c>
      <c r="F108" s="5">
        <v>16.7544269079608</v>
      </c>
      <c r="G108" s="5">
        <v>16.7544269079608</v>
      </c>
      <c r="H108" s="5">
        <v>12.7291714142955</v>
      </c>
      <c r="I108" s="5">
        <v>12.7291714142955</v>
      </c>
      <c r="J108" s="5">
        <v>12.7291714142955</v>
      </c>
      <c r="K108" s="5">
        <v>-0.225417905346771</v>
      </c>
      <c r="L108" s="5">
        <v>-0.225417905346771</v>
      </c>
      <c r="M108" s="5">
        <v>-0.225417905346771</v>
      </c>
      <c r="N108" s="5">
        <v>12.9545893196422</v>
      </c>
      <c r="O108" s="5">
        <v>12.9545893196422</v>
      </c>
      <c r="P108" s="5">
        <v>12.9545893196422</v>
      </c>
      <c r="Q108" s="5">
        <v>0.0</v>
      </c>
      <c r="R108" s="5">
        <v>0.0</v>
      </c>
      <c r="S108" s="5">
        <v>0.0</v>
      </c>
      <c r="T108" s="5">
        <v>29.4835983222564</v>
      </c>
    </row>
    <row r="109">
      <c r="A109" s="5">
        <v>107.0</v>
      </c>
      <c r="B109" s="6">
        <v>43735.0</v>
      </c>
      <c r="C109" s="5">
        <v>16.7554570545558</v>
      </c>
      <c r="D109" s="5">
        <v>-14.5839760775439</v>
      </c>
      <c r="E109" s="5">
        <v>65.9985575680021</v>
      </c>
      <c r="F109" s="5">
        <v>16.7554570545558</v>
      </c>
      <c r="G109" s="5">
        <v>16.7554570545558</v>
      </c>
      <c r="H109" s="5">
        <v>11.1954920739761</v>
      </c>
      <c r="I109" s="5">
        <v>11.1954920739761</v>
      </c>
      <c r="J109" s="5">
        <v>11.1954920739761</v>
      </c>
      <c r="K109" s="5">
        <v>-0.739640081278796</v>
      </c>
      <c r="L109" s="5">
        <v>-0.739640081278796</v>
      </c>
      <c r="M109" s="5">
        <v>-0.739640081278796</v>
      </c>
      <c r="N109" s="5">
        <v>11.9351321552548</v>
      </c>
      <c r="O109" s="5">
        <v>11.9351321552548</v>
      </c>
      <c r="P109" s="5">
        <v>11.9351321552548</v>
      </c>
      <c r="Q109" s="5">
        <v>0.0</v>
      </c>
      <c r="R109" s="5">
        <v>0.0</v>
      </c>
      <c r="S109" s="5">
        <v>0.0</v>
      </c>
      <c r="T109" s="5">
        <v>27.9509491285319</v>
      </c>
    </row>
    <row r="110">
      <c r="A110" s="5">
        <v>108.0</v>
      </c>
      <c r="B110" s="6">
        <v>43738.0</v>
      </c>
      <c r="C110" s="5">
        <v>16.7585474943406</v>
      </c>
      <c r="D110" s="5">
        <v>-16.6820001580907</v>
      </c>
      <c r="E110" s="5">
        <v>65.6875807028186</v>
      </c>
      <c r="F110" s="5">
        <v>16.7585474943406</v>
      </c>
      <c r="G110" s="5">
        <v>16.7585474943406</v>
      </c>
      <c r="H110" s="5">
        <v>9.86688832647269</v>
      </c>
      <c r="I110" s="5">
        <v>9.86688832647269</v>
      </c>
      <c r="J110" s="5">
        <v>9.86688832647269</v>
      </c>
      <c r="K110" s="5">
        <v>1.16457933345109</v>
      </c>
      <c r="L110" s="5">
        <v>1.16457933345109</v>
      </c>
      <c r="M110" s="5">
        <v>1.16457933345109</v>
      </c>
      <c r="N110" s="5">
        <v>8.7023089930216</v>
      </c>
      <c r="O110" s="5">
        <v>8.7023089930216</v>
      </c>
      <c r="P110" s="5">
        <v>8.7023089930216</v>
      </c>
      <c r="Q110" s="5">
        <v>0.0</v>
      </c>
      <c r="R110" s="5">
        <v>0.0</v>
      </c>
      <c r="S110" s="5">
        <v>0.0</v>
      </c>
      <c r="T110" s="5">
        <v>26.6254358208133</v>
      </c>
    </row>
    <row r="111">
      <c r="A111" s="5">
        <v>109.0</v>
      </c>
      <c r="B111" s="6">
        <v>43739.0</v>
      </c>
      <c r="C111" s="5">
        <v>16.7595776409355</v>
      </c>
      <c r="D111" s="5">
        <v>-16.2022471922833</v>
      </c>
      <c r="E111" s="5">
        <v>65.400472725952</v>
      </c>
      <c r="F111" s="5">
        <v>16.7595776409355</v>
      </c>
      <c r="G111" s="5">
        <v>16.7595776409355</v>
      </c>
      <c r="H111" s="5">
        <v>7.87414938635411</v>
      </c>
      <c r="I111" s="5">
        <v>7.87414938635411</v>
      </c>
      <c r="J111" s="5">
        <v>7.87414938635411</v>
      </c>
      <c r="K111" s="5">
        <v>0.247324772138808</v>
      </c>
      <c r="L111" s="5">
        <v>0.247324772138808</v>
      </c>
      <c r="M111" s="5">
        <v>0.247324772138808</v>
      </c>
      <c r="N111" s="5">
        <v>7.6268246142153</v>
      </c>
      <c r="O111" s="5">
        <v>7.6268246142153</v>
      </c>
      <c r="P111" s="5">
        <v>7.6268246142153</v>
      </c>
      <c r="Q111" s="5">
        <v>0.0</v>
      </c>
      <c r="R111" s="5">
        <v>0.0</v>
      </c>
      <c r="S111" s="5">
        <v>0.0</v>
      </c>
      <c r="T111" s="5">
        <v>24.6337270272896</v>
      </c>
    </row>
    <row r="112">
      <c r="A112" s="5">
        <v>110.0</v>
      </c>
      <c r="B112" s="6">
        <v>43740.0</v>
      </c>
      <c r="C112" s="5">
        <v>16.7606077875304</v>
      </c>
      <c r="D112" s="5">
        <v>-21.107404181719</v>
      </c>
      <c r="E112" s="5">
        <v>63.9966647243104</v>
      </c>
      <c r="F112" s="5">
        <v>16.7606077875304</v>
      </c>
      <c r="G112" s="5">
        <v>16.7606077875304</v>
      </c>
      <c r="H112" s="5">
        <v>7.1911976563273</v>
      </c>
      <c r="I112" s="5">
        <v>7.1911976563273</v>
      </c>
      <c r="J112" s="5">
        <v>7.1911976563273</v>
      </c>
      <c r="K112" s="5">
        <v>0.608132553625037</v>
      </c>
      <c r="L112" s="5">
        <v>0.608132553625037</v>
      </c>
      <c r="M112" s="5">
        <v>0.608132553625037</v>
      </c>
      <c r="N112" s="5">
        <v>6.58306510270226</v>
      </c>
      <c r="O112" s="5">
        <v>6.58306510270226</v>
      </c>
      <c r="P112" s="5">
        <v>6.58306510270226</v>
      </c>
      <c r="Q112" s="5">
        <v>0.0</v>
      </c>
      <c r="R112" s="5">
        <v>0.0</v>
      </c>
      <c r="S112" s="5">
        <v>0.0</v>
      </c>
      <c r="T112" s="5">
        <v>23.9518054438577</v>
      </c>
    </row>
    <row r="113">
      <c r="A113" s="5">
        <v>111.0</v>
      </c>
      <c r="B113" s="6">
        <v>43741.0</v>
      </c>
      <c r="C113" s="5">
        <v>16.7616379341254</v>
      </c>
      <c r="D113" s="5">
        <v>-17.7353444780044</v>
      </c>
      <c r="E113" s="5">
        <v>61.5774567185326</v>
      </c>
      <c r="F113" s="5">
        <v>16.7616379341254</v>
      </c>
      <c r="G113" s="5">
        <v>16.7616379341254</v>
      </c>
      <c r="H113" s="5">
        <v>5.36342607690308</v>
      </c>
      <c r="I113" s="5">
        <v>5.36342607690308</v>
      </c>
      <c r="J113" s="5">
        <v>5.36342607690308</v>
      </c>
      <c r="K113" s="5">
        <v>-0.225417905349735</v>
      </c>
      <c r="L113" s="5">
        <v>-0.225417905349735</v>
      </c>
      <c r="M113" s="5">
        <v>-0.225417905349735</v>
      </c>
      <c r="N113" s="5">
        <v>5.58884398225281</v>
      </c>
      <c r="O113" s="5">
        <v>5.58884398225281</v>
      </c>
      <c r="P113" s="5">
        <v>5.58884398225281</v>
      </c>
      <c r="Q113" s="5">
        <v>0.0</v>
      </c>
      <c r="R113" s="5">
        <v>0.0</v>
      </c>
      <c r="S113" s="5">
        <v>0.0</v>
      </c>
      <c r="T113" s="5">
        <v>22.1250640110285</v>
      </c>
    </row>
    <row r="114">
      <c r="A114" s="5">
        <v>112.0</v>
      </c>
      <c r="B114" s="6">
        <v>43742.0</v>
      </c>
      <c r="C114" s="5">
        <v>16.7626680807203</v>
      </c>
      <c r="D114" s="5">
        <v>-20.2037656600168</v>
      </c>
      <c r="E114" s="5">
        <v>62.1497915034008</v>
      </c>
      <c r="F114" s="5">
        <v>16.7626680807203</v>
      </c>
      <c r="G114" s="5">
        <v>16.7626680807203</v>
      </c>
      <c r="H114" s="5">
        <v>3.9213492887502</v>
      </c>
      <c r="I114" s="5">
        <v>3.9213492887502</v>
      </c>
      <c r="J114" s="5">
        <v>3.9213492887502</v>
      </c>
      <c r="K114" s="5">
        <v>-0.739640081279951</v>
      </c>
      <c r="L114" s="5">
        <v>-0.739640081279951</v>
      </c>
      <c r="M114" s="5">
        <v>-0.739640081279951</v>
      </c>
      <c r="N114" s="5">
        <v>4.66098937003015</v>
      </c>
      <c r="O114" s="5">
        <v>4.66098937003015</v>
      </c>
      <c r="P114" s="5">
        <v>4.66098937003015</v>
      </c>
      <c r="Q114" s="5">
        <v>0.0</v>
      </c>
      <c r="R114" s="5">
        <v>0.0</v>
      </c>
      <c r="S114" s="5">
        <v>0.0</v>
      </c>
      <c r="T114" s="5">
        <v>20.6840173694705</v>
      </c>
    </row>
    <row r="115">
      <c r="A115" s="5">
        <v>113.0</v>
      </c>
      <c r="B115" s="6">
        <v>43745.0</v>
      </c>
      <c r="C115" s="5">
        <v>16.7657585205051</v>
      </c>
      <c r="D115" s="5">
        <v>-21.6101830703371</v>
      </c>
      <c r="E115" s="5">
        <v>58.1189392926694</v>
      </c>
      <c r="F115" s="5">
        <v>16.7657585205051</v>
      </c>
      <c r="G115" s="5">
        <v>16.7657585205051</v>
      </c>
      <c r="H115" s="5">
        <v>3.58548389649835</v>
      </c>
      <c r="I115" s="5">
        <v>3.58548389649835</v>
      </c>
      <c r="J115" s="5">
        <v>3.58548389649835</v>
      </c>
      <c r="K115" s="5">
        <v>1.16457933345067</v>
      </c>
      <c r="L115" s="5">
        <v>1.16457933345067</v>
      </c>
      <c r="M115" s="5">
        <v>1.16457933345067</v>
      </c>
      <c r="N115" s="5">
        <v>2.42090456304768</v>
      </c>
      <c r="O115" s="5">
        <v>2.42090456304768</v>
      </c>
      <c r="P115" s="5">
        <v>2.42090456304768</v>
      </c>
      <c r="Q115" s="5">
        <v>0.0</v>
      </c>
      <c r="R115" s="5">
        <v>0.0</v>
      </c>
      <c r="S115" s="5">
        <v>0.0</v>
      </c>
      <c r="T115" s="5">
        <v>20.3512424170035</v>
      </c>
    </row>
    <row r="116">
      <c r="A116" s="5">
        <v>114.0</v>
      </c>
      <c r="B116" s="6">
        <v>43746.0</v>
      </c>
      <c r="C116" s="5">
        <v>16.7667886671</v>
      </c>
      <c r="D116" s="5">
        <v>-22.8145902588313</v>
      </c>
      <c r="E116" s="5">
        <v>58.7662069554994</v>
      </c>
      <c r="F116" s="5">
        <v>16.7667886671</v>
      </c>
      <c r="G116" s="5">
        <v>16.7667886671</v>
      </c>
      <c r="H116" s="5">
        <v>2.14106535448673</v>
      </c>
      <c r="I116" s="5">
        <v>2.14106535448673</v>
      </c>
      <c r="J116" s="5">
        <v>2.14106535448673</v>
      </c>
      <c r="K116" s="5">
        <v>0.247324772138896</v>
      </c>
      <c r="L116" s="5">
        <v>0.247324772138896</v>
      </c>
      <c r="M116" s="5">
        <v>0.247324772138896</v>
      </c>
      <c r="N116" s="5">
        <v>1.89374058234783</v>
      </c>
      <c r="O116" s="5">
        <v>1.89374058234783</v>
      </c>
      <c r="P116" s="5">
        <v>1.89374058234783</v>
      </c>
      <c r="Q116" s="5">
        <v>0.0</v>
      </c>
      <c r="R116" s="5">
        <v>0.0</v>
      </c>
      <c r="S116" s="5">
        <v>0.0</v>
      </c>
      <c r="T116" s="5">
        <v>18.9078540215868</v>
      </c>
    </row>
    <row r="117">
      <c r="A117" s="5">
        <v>115.0</v>
      </c>
      <c r="B117" s="6">
        <v>43747.0</v>
      </c>
      <c r="C117" s="5">
        <v>16.767818813695</v>
      </c>
      <c r="D117" s="5">
        <v>-22.3492511955717</v>
      </c>
      <c r="E117" s="5">
        <v>60.610346145001</v>
      </c>
      <c r="F117" s="5">
        <v>16.767818813695</v>
      </c>
      <c r="G117" s="5">
        <v>16.767818813695</v>
      </c>
      <c r="H117" s="5">
        <v>2.09767193549647</v>
      </c>
      <c r="I117" s="5">
        <v>2.09767193549647</v>
      </c>
      <c r="J117" s="5">
        <v>2.09767193549647</v>
      </c>
      <c r="K117" s="5">
        <v>0.608132553626816</v>
      </c>
      <c r="L117" s="5">
        <v>0.608132553626816</v>
      </c>
      <c r="M117" s="5">
        <v>0.608132553626816</v>
      </c>
      <c r="N117" s="5">
        <v>1.48953938186965</v>
      </c>
      <c r="O117" s="5">
        <v>1.48953938186965</v>
      </c>
      <c r="P117" s="5">
        <v>1.48953938186965</v>
      </c>
      <c r="Q117" s="5">
        <v>0.0</v>
      </c>
      <c r="R117" s="5">
        <v>0.0</v>
      </c>
      <c r="S117" s="5">
        <v>0.0</v>
      </c>
      <c r="T117" s="5">
        <v>18.8654907491914</v>
      </c>
    </row>
    <row r="118">
      <c r="A118" s="5">
        <v>116.0</v>
      </c>
      <c r="B118" s="6">
        <v>43748.0</v>
      </c>
      <c r="C118" s="5">
        <v>16.7688489602899</v>
      </c>
      <c r="D118" s="5">
        <v>-24.1556706022346</v>
      </c>
      <c r="E118" s="5">
        <v>61.6641643575624</v>
      </c>
      <c r="F118" s="5">
        <v>16.7688489602899</v>
      </c>
      <c r="G118" s="5">
        <v>16.7688489602899</v>
      </c>
      <c r="H118" s="5">
        <v>0.986800848798962</v>
      </c>
      <c r="I118" s="5">
        <v>0.986800848798962</v>
      </c>
      <c r="J118" s="5">
        <v>0.986800848798962</v>
      </c>
      <c r="K118" s="5">
        <v>-0.225417905349314</v>
      </c>
      <c r="L118" s="5">
        <v>-0.225417905349314</v>
      </c>
      <c r="M118" s="5">
        <v>-0.225417905349314</v>
      </c>
      <c r="N118" s="5">
        <v>1.21221875414827</v>
      </c>
      <c r="O118" s="5">
        <v>1.21221875414827</v>
      </c>
      <c r="P118" s="5">
        <v>1.21221875414827</v>
      </c>
      <c r="Q118" s="5">
        <v>0.0</v>
      </c>
      <c r="R118" s="5">
        <v>0.0</v>
      </c>
      <c r="S118" s="5">
        <v>0.0</v>
      </c>
      <c r="T118" s="5">
        <v>17.7556498090889</v>
      </c>
    </row>
    <row r="119">
      <c r="A119" s="5">
        <v>117.0</v>
      </c>
      <c r="B119" s="6">
        <v>43749.0</v>
      </c>
      <c r="C119" s="5">
        <v>16.7698791068848</v>
      </c>
      <c r="D119" s="5">
        <v>-26.423814838264</v>
      </c>
      <c r="E119" s="5">
        <v>57.1366045088722</v>
      </c>
      <c r="F119" s="5">
        <v>16.7698791068848</v>
      </c>
      <c r="G119" s="5">
        <v>16.7698791068848</v>
      </c>
      <c r="H119" s="5">
        <v>0.323244453131273</v>
      </c>
      <c r="I119" s="5">
        <v>0.323244453131273</v>
      </c>
      <c r="J119" s="5">
        <v>0.323244453131273</v>
      </c>
      <c r="K119" s="5">
        <v>-0.739640081280076</v>
      </c>
      <c r="L119" s="5">
        <v>-0.739640081280076</v>
      </c>
      <c r="M119" s="5">
        <v>-0.739640081280076</v>
      </c>
      <c r="N119" s="5">
        <v>1.06288453441134</v>
      </c>
      <c r="O119" s="5">
        <v>1.06288453441134</v>
      </c>
      <c r="P119" s="5">
        <v>1.06288453441134</v>
      </c>
      <c r="Q119" s="5">
        <v>0.0</v>
      </c>
      <c r="R119" s="5">
        <v>0.0</v>
      </c>
      <c r="S119" s="5">
        <v>0.0</v>
      </c>
      <c r="T119" s="5">
        <v>17.0931235600161</v>
      </c>
    </row>
    <row r="120">
      <c r="A120" s="5">
        <v>118.0</v>
      </c>
      <c r="B120" s="6">
        <v>43752.0</v>
      </c>
      <c r="C120" s="5">
        <v>16.7729695466696</v>
      </c>
      <c r="D120" s="5">
        <v>-20.3583350988993</v>
      </c>
      <c r="E120" s="5">
        <v>57.3019003756903</v>
      </c>
      <c r="F120" s="5">
        <v>16.7729695466696</v>
      </c>
      <c r="G120" s="5">
        <v>16.7729695466696</v>
      </c>
      <c r="H120" s="5">
        <v>2.51663613376296</v>
      </c>
      <c r="I120" s="5">
        <v>2.51663613376296</v>
      </c>
      <c r="J120" s="5">
        <v>2.51663613376296</v>
      </c>
      <c r="K120" s="5">
        <v>1.1645793334509</v>
      </c>
      <c r="L120" s="5">
        <v>1.1645793334509</v>
      </c>
      <c r="M120" s="5">
        <v>1.1645793334509</v>
      </c>
      <c r="N120" s="5">
        <v>1.35205680031206</v>
      </c>
      <c r="O120" s="5">
        <v>1.35205680031206</v>
      </c>
      <c r="P120" s="5">
        <v>1.35205680031206</v>
      </c>
      <c r="Q120" s="5">
        <v>0.0</v>
      </c>
      <c r="R120" s="5">
        <v>0.0</v>
      </c>
      <c r="S120" s="5">
        <v>0.0</v>
      </c>
      <c r="T120" s="5">
        <v>19.2896056804326</v>
      </c>
    </row>
    <row r="121">
      <c r="A121" s="5">
        <v>119.0</v>
      </c>
      <c r="B121" s="6">
        <v>43753.0</v>
      </c>
      <c r="C121" s="5">
        <v>16.7739996932646</v>
      </c>
      <c r="D121" s="5">
        <v>-21.8716813935146</v>
      </c>
      <c r="E121" s="5">
        <v>57.2748330343059</v>
      </c>
      <c r="F121" s="5">
        <v>16.7739996932646</v>
      </c>
      <c r="G121" s="5">
        <v>16.7739996932646</v>
      </c>
      <c r="H121" s="5">
        <v>1.91812306713767</v>
      </c>
      <c r="I121" s="5">
        <v>1.91812306713767</v>
      </c>
      <c r="J121" s="5">
        <v>1.91812306713767</v>
      </c>
      <c r="K121" s="5">
        <v>0.247324772138984</v>
      </c>
      <c r="L121" s="5">
        <v>0.247324772138984</v>
      </c>
      <c r="M121" s="5">
        <v>0.247324772138984</v>
      </c>
      <c r="N121" s="5">
        <v>1.67079829499868</v>
      </c>
      <c r="O121" s="5">
        <v>1.67079829499868</v>
      </c>
      <c r="P121" s="5">
        <v>1.67079829499868</v>
      </c>
      <c r="Q121" s="5">
        <v>0.0</v>
      </c>
      <c r="R121" s="5">
        <v>0.0</v>
      </c>
      <c r="S121" s="5">
        <v>0.0</v>
      </c>
      <c r="T121" s="5">
        <v>18.6921227604022</v>
      </c>
    </row>
    <row r="122">
      <c r="A122" s="5">
        <v>120.0</v>
      </c>
      <c r="B122" s="6">
        <v>43754.0</v>
      </c>
      <c r="C122" s="5">
        <v>16.7750298398595</v>
      </c>
      <c r="D122" s="5">
        <v>-20.4605364621314</v>
      </c>
      <c r="E122" s="5">
        <v>60.6622701654433</v>
      </c>
      <c r="F122" s="5">
        <v>16.7750298398595</v>
      </c>
      <c r="G122" s="5">
        <v>16.7750298398595</v>
      </c>
      <c r="H122" s="5">
        <v>2.69132405715032</v>
      </c>
      <c r="I122" s="5">
        <v>2.69132405715032</v>
      </c>
      <c r="J122" s="5">
        <v>2.69132405715032</v>
      </c>
      <c r="K122" s="5">
        <v>0.608132553628594</v>
      </c>
      <c r="L122" s="5">
        <v>0.608132553628594</v>
      </c>
      <c r="M122" s="5">
        <v>0.608132553628594</v>
      </c>
      <c r="N122" s="5">
        <v>2.08319150352172</v>
      </c>
      <c r="O122" s="5">
        <v>2.08319150352172</v>
      </c>
      <c r="P122" s="5">
        <v>2.08319150352172</v>
      </c>
      <c r="Q122" s="5">
        <v>0.0</v>
      </c>
      <c r="R122" s="5">
        <v>0.0</v>
      </c>
      <c r="S122" s="5">
        <v>0.0</v>
      </c>
      <c r="T122" s="5">
        <v>19.4663538970098</v>
      </c>
    </row>
    <row r="123">
      <c r="A123" s="5">
        <v>121.0</v>
      </c>
      <c r="B123" s="6">
        <v>43755.0</v>
      </c>
      <c r="C123" s="5">
        <v>16.7760599864544</v>
      </c>
      <c r="D123" s="5">
        <v>-20.6967238785281</v>
      </c>
      <c r="E123" s="5">
        <v>56.0603701943301</v>
      </c>
      <c r="F123" s="5">
        <v>16.7760599864544</v>
      </c>
      <c r="G123" s="5">
        <v>16.7760599864544</v>
      </c>
      <c r="H123" s="5">
        <v>2.35041241338174</v>
      </c>
      <c r="I123" s="5">
        <v>2.35041241338174</v>
      </c>
      <c r="J123" s="5">
        <v>2.35041241338174</v>
      </c>
      <c r="K123" s="5">
        <v>-0.225417905348893</v>
      </c>
      <c r="L123" s="5">
        <v>-0.225417905348893</v>
      </c>
      <c r="M123" s="5">
        <v>-0.225417905348893</v>
      </c>
      <c r="N123" s="5">
        <v>2.57583031873064</v>
      </c>
      <c r="O123" s="5">
        <v>2.57583031873064</v>
      </c>
      <c r="P123" s="5">
        <v>2.57583031873064</v>
      </c>
      <c r="Q123" s="5">
        <v>0.0</v>
      </c>
      <c r="R123" s="5">
        <v>0.0</v>
      </c>
      <c r="S123" s="5">
        <v>0.0</v>
      </c>
      <c r="T123" s="5">
        <v>19.1264723998362</v>
      </c>
    </row>
    <row r="124">
      <c r="A124" s="5">
        <v>122.0</v>
      </c>
      <c r="B124" s="6">
        <v>43756.0</v>
      </c>
      <c r="C124" s="5">
        <v>16.8339016081305</v>
      </c>
      <c r="D124" s="5">
        <v>-20.0350109256874</v>
      </c>
      <c r="E124" s="5">
        <v>59.2433118132704</v>
      </c>
      <c r="F124" s="5">
        <v>16.8339016081305</v>
      </c>
      <c r="G124" s="5">
        <v>16.8339016081305</v>
      </c>
      <c r="H124" s="5">
        <v>2.3942447195667</v>
      </c>
      <c r="I124" s="5">
        <v>2.3942447195667</v>
      </c>
      <c r="J124" s="5">
        <v>2.3942447195667</v>
      </c>
      <c r="K124" s="5">
        <v>-0.739640081283633</v>
      </c>
      <c r="L124" s="5">
        <v>-0.739640081283633</v>
      </c>
      <c r="M124" s="5">
        <v>-0.739640081283633</v>
      </c>
      <c r="N124" s="5">
        <v>3.13388480085033</v>
      </c>
      <c r="O124" s="5">
        <v>3.13388480085033</v>
      </c>
      <c r="P124" s="5">
        <v>3.13388480085033</v>
      </c>
      <c r="Q124" s="5">
        <v>0.0</v>
      </c>
      <c r="R124" s="5">
        <v>0.0</v>
      </c>
      <c r="S124" s="5">
        <v>0.0</v>
      </c>
      <c r="T124" s="5">
        <v>19.2281463276972</v>
      </c>
    </row>
    <row r="125">
      <c r="A125" s="5">
        <v>123.0</v>
      </c>
      <c r="B125" s="6">
        <v>43759.0</v>
      </c>
      <c r="C125" s="5">
        <v>17.0074264731586</v>
      </c>
      <c r="D125" s="5">
        <v>-16.9846165472801</v>
      </c>
      <c r="E125" s="5">
        <v>64.2421308651223</v>
      </c>
      <c r="F125" s="5">
        <v>17.0074264731586</v>
      </c>
      <c r="G125" s="5">
        <v>17.0074264731586</v>
      </c>
      <c r="H125" s="5">
        <v>6.20430399656964</v>
      </c>
      <c r="I125" s="5">
        <v>6.20430399656964</v>
      </c>
      <c r="J125" s="5">
        <v>6.20430399656964</v>
      </c>
      <c r="K125" s="5">
        <v>1.16457933345048</v>
      </c>
      <c r="L125" s="5">
        <v>1.16457933345048</v>
      </c>
      <c r="M125" s="5">
        <v>1.16457933345048</v>
      </c>
      <c r="N125" s="5">
        <v>5.03972466311916</v>
      </c>
      <c r="O125" s="5">
        <v>5.03972466311916</v>
      </c>
      <c r="P125" s="5">
        <v>5.03972466311916</v>
      </c>
      <c r="Q125" s="5">
        <v>0.0</v>
      </c>
      <c r="R125" s="5">
        <v>0.0</v>
      </c>
      <c r="S125" s="5">
        <v>0.0</v>
      </c>
      <c r="T125" s="5">
        <v>23.2117304697282</v>
      </c>
    </row>
    <row r="126">
      <c r="A126" s="5">
        <v>124.0</v>
      </c>
      <c r="B126" s="6">
        <v>43760.0</v>
      </c>
      <c r="C126" s="5">
        <v>17.0652680948346</v>
      </c>
      <c r="D126" s="5">
        <v>-16.937618298656</v>
      </c>
      <c r="E126" s="5">
        <v>66.9005925631327</v>
      </c>
      <c r="F126" s="5">
        <v>17.0652680948346</v>
      </c>
      <c r="G126" s="5">
        <v>17.0652680948346</v>
      </c>
      <c r="H126" s="5">
        <v>5.94489279872451</v>
      </c>
      <c r="I126" s="5">
        <v>5.94489279872451</v>
      </c>
      <c r="J126" s="5">
        <v>5.94489279872451</v>
      </c>
      <c r="K126" s="5">
        <v>0.24732477213765</v>
      </c>
      <c r="L126" s="5">
        <v>0.24732477213765</v>
      </c>
      <c r="M126" s="5">
        <v>0.24732477213765</v>
      </c>
      <c r="N126" s="5">
        <v>5.69756802658686</v>
      </c>
      <c r="O126" s="5">
        <v>5.69756802658686</v>
      </c>
      <c r="P126" s="5">
        <v>5.69756802658686</v>
      </c>
      <c r="Q126" s="5">
        <v>0.0</v>
      </c>
      <c r="R126" s="5">
        <v>0.0</v>
      </c>
      <c r="S126" s="5">
        <v>0.0</v>
      </c>
      <c r="T126" s="5">
        <v>23.0101608935591</v>
      </c>
    </row>
    <row r="127">
      <c r="A127" s="5">
        <v>125.0</v>
      </c>
      <c r="B127" s="6">
        <v>43761.0</v>
      </c>
      <c r="C127" s="5">
        <v>17.1231097165106</v>
      </c>
      <c r="D127" s="5">
        <v>-16.4359634902116</v>
      </c>
      <c r="E127" s="5">
        <v>65.5828253838851</v>
      </c>
      <c r="F127" s="5">
        <v>17.1231097165106</v>
      </c>
      <c r="G127" s="5">
        <v>17.1231097165106</v>
      </c>
      <c r="H127" s="5">
        <v>6.94853440339978</v>
      </c>
      <c r="I127" s="5">
        <v>6.94853440339978</v>
      </c>
      <c r="J127" s="5">
        <v>6.94853440339978</v>
      </c>
      <c r="K127" s="5">
        <v>0.608132553628482</v>
      </c>
      <c r="L127" s="5">
        <v>0.608132553628482</v>
      </c>
      <c r="M127" s="5">
        <v>0.608132553628482</v>
      </c>
      <c r="N127" s="5">
        <v>6.3404018497713</v>
      </c>
      <c r="O127" s="5">
        <v>6.3404018497713</v>
      </c>
      <c r="P127" s="5">
        <v>6.3404018497713</v>
      </c>
      <c r="Q127" s="5">
        <v>0.0</v>
      </c>
      <c r="R127" s="5">
        <v>0.0</v>
      </c>
      <c r="S127" s="5">
        <v>0.0</v>
      </c>
      <c r="T127" s="5">
        <v>24.0716441199104</v>
      </c>
    </row>
    <row r="128">
      <c r="A128" s="5">
        <v>126.0</v>
      </c>
      <c r="B128" s="6">
        <v>43762.0</v>
      </c>
      <c r="C128" s="5">
        <v>17.1809513381867</v>
      </c>
      <c r="D128" s="5">
        <v>-19.422110690324</v>
      </c>
      <c r="E128" s="5">
        <v>64.676262989631</v>
      </c>
      <c r="F128" s="5">
        <v>17.1809513381867</v>
      </c>
      <c r="G128" s="5">
        <v>17.1809513381867</v>
      </c>
      <c r="H128" s="5">
        <v>6.72855810926771</v>
      </c>
      <c r="I128" s="5">
        <v>6.72855810926771</v>
      </c>
      <c r="J128" s="5">
        <v>6.72855810926771</v>
      </c>
      <c r="K128" s="5">
        <v>-0.225417905347509</v>
      </c>
      <c r="L128" s="5">
        <v>-0.225417905347509</v>
      </c>
      <c r="M128" s="5">
        <v>-0.225417905347509</v>
      </c>
      <c r="N128" s="5">
        <v>6.95397601461522</v>
      </c>
      <c r="O128" s="5">
        <v>6.95397601461522</v>
      </c>
      <c r="P128" s="5">
        <v>6.95397601461522</v>
      </c>
      <c r="Q128" s="5">
        <v>0.0</v>
      </c>
      <c r="R128" s="5">
        <v>0.0</v>
      </c>
      <c r="S128" s="5">
        <v>0.0</v>
      </c>
      <c r="T128" s="5">
        <v>23.9095094474544</v>
      </c>
    </row>
    <row r="129">
      <c r="A129" s="5">
        <v>127.0</v>
      </c>
      <c r="B129" s="6">
        <v>43763.0</v>
      </c>
      <c r="C129" s="5">
        <v>17.2387929598627</v>
      </c>
      <c r="D129" s="5">
        <v>-13.9964843532983</v>
      </c>
      <c r="E129" s="5">
        <v>65.820564904718</v>
      </c>
      <c r="F129" s="5">
        <v>17.2387929598627</v>
      </c>
      <c r="G129" s="5">
        <v>17.2387929598627</v>
      </c>
      <c r="H129" s="5">
        <v>6.78596111726953</v>
      </c>
      <c r="I129" s="5">
        <v>6.78596111726953</v>
      </c>
      <c r="J129" s="5">
        <v>6.78596111726953</v>
      </c>
      <c r="K129" s="5">
        <v>-0.739640081281357</v>
      </c>
      <c r="L129" s="5">
        <v>-0.739640081281357</v>
      </c>
      <c r="M129" s="5">
        <v>-0.739640081281357</v>
      </c>
      <c r="N129" s="5">
        <v>7.52560119855088</v>
      </c>
      <c r="O129" s="5">
        <v>7.52560119855088</v>
      </c>
      <c r="P129" s="5">
        <v>7.52560119855088</v>
      </c>
      <c r="Q129" s="5">
        <v>0.0</v>
      </c>
      <c r="R129" s="5">
        <v>0.0</v>
      </c>
      <c r="S129" s="5">
        <v>0.0</v>
      </c>
      <c r="T129" s="5">
        <v>24.0247540771322</v>
      </c>
    </row>
    <row r="130">
      <c r="A130" s="5">
        <v>128.0</v>
      </c>
      <c r="B130" s="6">
        <v>43766.0</v>
      </c>
      <c r="C130" s="5">
        <v>17.4123178248908</v>
      </c>
      <c r="D130" s="5">
        <v>-12.0262213151395</v>
      </c>
      <c r="E130" s="5">
        <v>67.9469440600034</v>
      </c>
      <c r="F130" s="5">
        <v>17.4123178248908</v>
      </c>
      <c r="G130" s="5">
        <v>17.4123178248908</v>
      </c>
      <c r="H130" s="5">
        <v>10.0563890443621</v>
      </c>
      <c r="I130" s="5">
        <v>10.0563890443621</v>
      </c>
      <c r="J130" s="5">
        <v>10.0563890443621</v>
      </c>
      <c r="K130" s="5">
        <v>1.16457933344985</v>
      </c>
      <c r="L130" s="5">
        <v>1.16457933344985</v>
      </c>
      <c r="M130" s="5">
        <v>1.16457933344985</v>
      </c>
      <c r="N130" s="5">
        <v>8.89180971091225</v>
      </c>
      <c r="O130" s="5">
        <v>8.89180971091225</v>
      </c>
      <c r="P130" s="5">
        <v>8.89180971091225</v>
      </c>
      <c r="Q130" s="5">
        <v>0.0</v>
      </c>
      <c r="R130" s="5">
        <v>0.0</v>
      </c>
      <c r="S130" s="5">
        <v>0.0</v>
      </c>
      <c r="T130" s="5">
        <v>27.4687068692529</v>
      </c>
    </row>
    <row r="131">
      <c r="A131" s="5">
        <v>129.0</v>
      </c>
      <c r="B131" s="6">
        <v>43767.0</v>
      </c>
      <c r="C131" s="5">
        <v>17.4701594465668</v>
      </c>
      <c r="D131" s="5">
        <v>-12.8541008653857</v>
      </c>
      <c r="E131" s="5">
        <v>66.3346455867306</v>
      </c>
      <c r="F131" s="5">
        <v>17.4701594465668</v>
      </c>
      <c r="G131" s="5">
        <v>17.4701594465668</v>
      </c>
      <c r="H131" s="5">
        <v>9.45755903657021</v>
      </c>
      <c r="I131" s="5">
        <v>9.45755903657021</v>
      </c>
      <c r="J131" s="5">
        <v>9.45755903657021</v>
      </c>
      <c r="K131" s="5">
        <v>0.24732477213981</v>
      </c>
      <c r="L131" s="5">
        <v>0.24732477213981</v>
      </c>
      <c r="M131" s="5">
        <v>0.24732477213981</v>
      </c>
      <c r="N131" s="5">
        <v>9.2102342644304</v>
      </c>
      <c r="O131" s="5">
        <v>9.2102342644304</v>
      </c>
      <c r="P131" s="5">
        <v>9.2102342644304</v>
      </c>
      <c r="Q131" s="5">
        <v>0.0</v>
      </c>
      <c r="R131" s="5">
        <v>0.0</v>
      </c>
      <c r="S131" s="5">
        <v>0.0</v>
      </c>
      <c r="T131" s="5">
        <v>26.9277184831371</v>
      </c>
    </row>
    <row r="132">
      <c r="A132" s="5">
        <v>130.0</v>
      </c>
      <c r="B132" s="6">
        <v>43768.0</v>
      </c>
      <c r="C132" s="5">
        <v>17.5280010682429</v>
      </c>
      <c r="D132" s="5">
        <v>-12.7013422248483</v>
      </c>
      <c r="E132" s="5">
        <v>68.3373890024876</v>
      </c>
      <c r="F132" s="5">
        <v>17.5280010682429</v>
      </c>
      <c r="G132" s="5">
        <v>17.5280010682429</v>
      </c>
      <c r="H132" s="5">
        <v>10.0641802067435</v>
      </c>
      <c r="I132" s="5">
        <v>10.0641802067435</v>
      </c>
      <c r="J132" s="5">
        <v>10.0641802067435</v>
      </c>
      <c r="K132" s="5">
        <v>0.608132553627592</v>
      </c>
      <c r="L132" s="5">
        <v>0.608132553627592</v>
      </c>
      <c r="M132" s="5">
        <v>0.608132553627592</v>
      </c>
      <c r="N132" s="5">
        <v>9.45604765311594</v>
      </c>
      <c r="O132" s="5">
        <v>9.45604765311594</v>
      </c>
      <c r="P132" s="5">
        <v>9.45604765311594</v>
      </c>
      <c r="Q132" s="5">
        <v>0.0</v>
      </c>
      <c r="R132" s="5">
        <v>0.0</v>
      </c>
      <c r="S132" s="5">
        <v>0.0</v>
      </c>
      <c r="T132" s="5">
        <v>27.5921812749864</v>
      </c>
    </row>
    <row r="133">
      <c r="A133" s="5">
        <v>131.0</v>
      </c>
      <c r="B133" s="6">
        <v>43769.0</v>
      </c>
      <c r="C133" s="5">
        <v>17.5858426899189</v>
      </c>
      <c r="D133" s="5">
        <v>-12.5771156588639</v>
      </c>
      <c r="E133" s="5">
        <v>68.8661453217796</v>
      </c>
      <c r="F133" s="5">
        <v>17.5858426899189</v>
      </c>
      <c r="G133" s="5">
        <v>17.5858426899189</v>
      </c>
      <c r="H133" s="5">
        <v>9.40518571969912</v>
      </c>
      <c r="I133" s="5">
        <v>9.40518571969912</v>
      </c>
      <c r="J133" s="5">
        <v>9.40518571969912</v>
      </c>
      <c r="K133" s="5">
        <v>-0.225417905350474</v>
      </c>
      <c r="L133" s="5">
        <v>-0.225417905350474</v>
      </c>
      <c r="M133" s="5">
        <v>-0.225417905350474</v>
      </c>
      <c r="N133" s="5">
        <v>9.63060362504959</v>
      </c>
      <c r="O133" s="5">
        <v>9.63060362504959</v>
      </c>
      <c r="P133" s="5">
        <v>9.63060362504959</v>
      </c>
      <c r="Q133" s="5">
        <v>0.0</v>
      </c>
      <c r="R133" s="5">
        <v>0.0</v>
      </c>
      <c r="S133" s="5">
        <v>0.0</v>
      </c>
      <c r="T133" s="5">
        <v>26.991028409618</v>
      </c>
    </row>
    <row r="134">
      <c r="A134" s="5">
        <v>132.0</v>
      </c>
      <c r="B134" s="6">
        <v>43770.0</v>
      </c>
      <c r="C134" s="5">
        <v>17.643684311595</v>
      </c>
      <c r="D134" s="5">
        <v>-16.7902375044225</v>
      </c>
      <c r="E134" s="5">
        <v>63.3685875691225</v>
      </c>
      <c r="F134" s="5">
        <v>17.643684311595</v>
      </c>
      <c r="G134" s="5">
        <v>17.643684311595</v>
      </c>
      <c r="H134" s="5">
        <v>8.99807340208648</v>
      </c>
      <c r="I134" s="5">
        <v>8.99807340208648</v>
      </c>
      <c r="J134" s="5">
        <v>8.99807340208648</v>
      </c>
      <c r="K134" s="5">
        <v>-0.739640081282512</v>
      </c>
      <c r="L134" s="5">
        <v>-0.739640081282512</v>
      </c>
      <c r="M134" s="5">
        <v>-0.739640081282512</v>
      </c>
      <c r="N134" s="5">
        <v>9.737713483369</v>
      </c>
      <c r="O134" s="5">
        <v>9.737713483369</v>
      </c>
      <c r="P134" s="5">
        <v>9.737713483369</v>
      </c>
      <c r="Q134" s="5">
        <v>0.0</v>
      </c>
      <c r="R134" s="5">
        <v>0.0</v>
      </c>
      <c r="S134" s="5">
        <v>0.0</v>
      </c>
      <c r="T134" s="5">
        <v>26.6417577136814</v>
      </c>
    </row>
    <row r="135">
      <c r="A135" s="5">
        <v>133.0</v>
      </c>
      <c r="B135" s="6">
        <v>43773.0</v>
      </c>
      <c r="C135" s="5">
        <v>17.8172091766231</v>
      </c>
      <c r="D135" s="5">
        <v>-10.1263782462505</v>
      </c>
      <c r="E135" s="5">
        <v>69.6507734119515</v>
      </c>
      <c r="F135" s="5">
        <v>17.8172091766231</v>
      </c>
      <c r="G135" s="5">
        <v>17.8172091766231</v>
      </c>
      <c r="H135" s="5">
        <v>10.8899571121301</v>
      </c>
      <c r="I135" s="5">
        <v>10.8899571121301</v>
      </c>
      <c r="J135" s="5">
        <v>10.8899571121301</v>
      </c>
      <c r="K135" s="5">
        <v>1.16457933345019</v>
      </c>
      <c r="L135" s="5">
        <v>1.16457933345019</v>
      </c>
      <c r="M135" s="5">
        <v>1.16457933345019</v>
      </c>
      <c r="N135" s="5">
        <v>9.72537777867992</v>
      </c>
      <c r="O135" s="5">
        <v>9.72537777867992</v>
      </c>
      <c r="P135" s="5">
        <v>9.72537777867992</v>
      </c>
      <c r="Q135" s="5">
        <v>0.0</v>
      </c>
      <c r="R135" s="5">
        <v>0.0</v>
      </c>
      <c r="S135" s="5">
        <v>0.0</v>
      </c>
      <c r="T135" s="5">
        <v>28.7071662887532</v>
      </c>
    </row>
    <row r="136">
      <c r="A136" s="5">
        <v>134.0</v>
      </c>
      <c r="B136" s="6">
        <v>43774.0</v>
      </c>
      <c r="C136" s="5">
        <v>17.8750507982991</v>
      </c>
      <c r="D136" s="5">
        <v>-11.3294981805229</v>
      </c>
      <c r="E136" s="5">
        <v>64.9904738352389</v>
      </c>
      <c r="F136" s="5">
        <v>17.8750507982991</v>
      </c>
      <c r="G136" s="5">
        <v>17.8750507982991</v>
      </c>
      <c r="H136" s="5">
        <v>9.89007993933545</v>
      </c>
      <c r="I136" s="5">
        <v>9.89007993933545</v>
      </c>
      <c r="J136" s="5">
        <v>9.89007993933545</v>
      </c>
      <c r="K136" s="5">
        <v>0.247324772138475</v>
      </c>
      <c r="L136" s="5">
        <v>0.247324772138475</v>
      </c>
      <c r="M136" s="5">
        <v>0.247324772138475</v>
      </c>
      <c r="N136" s="5">
        <v>9.64275516719697</v>
      </c>
      <c r="O136" s="5">
        <v>9.64275516719697</v>
      </c>
      <c r="P136" s="5">
        <v>9.64275516719697</v>
      </c>
      <c r="Q136" s="5">
        <v>0.0</v>
      </c>
      <c r="R136" s="5">
        <v>0.0</v>
      </c>
      <c r="S136" s="5">
        <v>0.0</v>
      </c>
      <c r="T136" s="5">
        <v>27.7651307376345</v>
      </c>
    </row>
    <row r="137">
      <c r="A137" s="5">
        <v>135.0</v>
      </c>
      <c r="B137" s="6">
        <v>43775.0</v>
      </c>
      <c r="C137" s="5">
        <v>17.9328924199751</v>
      </c>
      <c r="D137" s="5">
        <v>-13.5519555502904</v>
      </c>
      <c r="E137" s="5">
        <v>68.056677125314</v>
      </c>
      <c r="F137" s="5">
        <v>17.9328924199751</v>
      </c>
      <c r="G137" s="5">
        <v>17.9328924199751</v>
      </c>
      <c r="H137" s="5">
        <v>10.1486704686497</v>
      </c>
      <c r="I137" s="5">
        <v>10.1486704686497</v>
      </c>
      <c r="J137" s="5">
        <v>10.1486704686497</v>
      </c>
      <c r="K137" s="5">
        <v>0.608132553626703</v>
      </c>
      <c r="L137" s="5">
        <v>0.608132553626703</v>
      </c>
      <c r="M137" s="5">
        <v>0.608132553626703</v>
      </c>
      <c r="N137" s="5">
        <v>9.54053791502302</v>
      </c>
      <c r="O137" s="5">
        <v>9.54053791502302</v>
      </c>
      <c r="P137" s="5">
        <v>9.54053791502302</v>
      </c>
      <c r="Q137" s="5">
        <v>0.0</v>
      </c>
      <c r="R137" s="5">
        <v>0.0</v>
      </c>
      <c r="S137" s="5">
        <v>0.0</v>
      </c>
      <c r="T137" s="5">
        <v>28.0815628886249</v>
      </c>
    </row>
    <row r="138">
      <c r="A138" s="5">
        <v>136.0</v>
      </c>
      <c r="B138" s="6">
        <v>43776.0</v>
      </c>
      <c r="C138" s="5">
        <v>17.9907340416512</v>
      </c>
      <c r="D138" s="5">
        <v>-13.0290012062695</v>
      </c>
      <c r="E138" s="5">
        <v>67.5954843984141</v>
      </c>
      <c r="F138" s="5">
        <v>17.9907340416512</v>
      </c>
      <c r="G138" s="5">
        <v>17.9907340416512</v>
      </c>
      <c r="H138" s="5">
        <v>9.20624428681755</v>
      </c>
      <c r="I138" s="5">
        <v>9.20624428681755</v>
      </c>
      <c r="J138" s="5">
        <v>9.20624428681755</v>
      </c>
      <c r="K138" s="5">
        <v>-0.225417905345704</v>
      </c>
      <c r="L138" s="5">
        <v>-0.225417905345704</v>
      </c>
      <c r="M138" s="5">
        <v>-0.225417905345704</v>
      </c>
      <c r="N138" s="5">
        <v>9.43166219216325</v>
      </c>
      <c r="O138" s="5">
        <v>9.43166219216325</v>
      </c>
      <c r="P138" s="5">
        <v>9.43166219216325</v>
      </c>
      <c r="Q138" s="5">
        <v>0.0</v>
      </c>
      <c r="R138" s="5">
        <v>0.0</v>
      </c>
      <c r="S138" s="5">
        <v>0.0</v>
      </c>
      <c r="T138" s="5">
        <v>27.1969783284687</v>
      </c>
    </row>
    <row r="139">
      <c r="A139" s="5">
        <v>137.0</v>
      </c>
      <c r="B139" s="6">
        <v>43777.0</v>
      </c>
      <c r="C139" s="5">
        <v>18.0485756633272</v>
      </c>
      <c r="D139" s="5">
        <v>-13.1159806961636</v>
      </c>
      <c r="E139" s="5">
        <v>68.7611999434812</v>
      </c>
      <c r="F139" s="5">
        <v>18.0485756633272</v>
      </c>
      <c r="G139" s="5">
        <v>18.0485756633272</v>
      </c>
      <c r="H139" s="5">
        <v>8.58957399080338</v>
      </c>
      <c r="I139" s="5">
        <v>8.58957399080338</v>
      </c>
      <c r="J139" s="5">
        <v>8.58957399080338</v>
      </c>
      <c r="K139" s="5">
        <v>-0.739640081279205</v>
      </c>
      <c r="L139" s="5">
        <v>-0.739640081279205</v>
      </c>
      <c r="M139" s="5">
        <v>-0.739640081279205</v>
      </c>
      <c r="N139" s="5">
        <v>9.32921407208259</v>
      </c>
      <c r="O139" s="5">
        <v>9.32921407208259</v>
      </c>
      <c r="P139" s="5">
        <v>9.32921407208259</v>
      </c>
      <c r="Q139" s="5">
        <v>0.0</v>
      </c>
      <c r="R139" s="5">
        <v>0.0</v>
      </c>
      <c r="S139" s="5">
        <v>0.0</v>
      </c>
      <c r="T139" s="5">
        <v>26.6381496541306</v>
      </c>
    </row>
    <row r="140">
      <c r="A140" s="5">
        <v>138.0</v>
      </c>
      <c r="B140" s="6">
        <v>43780.0</v>
      </c>
      <c r="C140" s="5">
        <v>18.2221005283553</v>
      </c>
      <c r="D140" s="5">
        <v>-10.8357285074012</v>
      </c>
      <c r="E140" s="5">
        <v>66.1906683802159</v>
      </c>
      <c r="F140" s="5">
        <v>18.2221005283553</v>
      </c>
      <c r="G140" s="5">
        <v>18.2221005283553</v>
      </c>
      <c r="H140" s="5">
        <v>10.3487984479416</v>
      </c>
      <c r="I140" s="5">
        <v>10.3487984479416</v>
      </c>
      <c r="J140" s="5">
        <v>10.3487984479416</v>
      </c>
      <c r="K140" s="5">
        <v>1.16457933345052</v>
      </c>
      <c r="L140" s="5">
        <v>1.16457933345052</v>
      </c>
      <c r="M140" s="5">
        <v>1.16457933345052</v>
      </c>
      <c r="N140" s="5">
        <v>9.18421911449109</v>
      </c>
      <c r="O140" s="5">
        <v>9.18421911449109</v>
      </c>
      <c r="P140" s="5">
        <v>9.18421911449109</v>
      </c>
      <c r="Q140" s="5">
        <v>0.0</v>
      </c>
      <c r="R140" s="5">
        <v>0.0</v>
      </c>
      <c r="S140" s="5">
        <v>0.0</v>
      </c>
      <c r="T140" s="5">
        <v>28.5708989762969</v>
      </c>
    </row>
    <row r="141">
      <c r="A141" s="5">
        <v>139.0</v>
      </c>
      <c r="B141" s="6">
        <v>43781.0</v>
      </c>
      <c r="C141" s="5">
        <v>18.2799421500313</v>
      </c>
      <c r="D141" s="5">
        <v>-12.702989010243</v>
      </c>
      <c r="E141" s="5">
        <v>69.4653052796241</v>
      </c>
      <c r="F141" s="5">
        <v>18.2799421500313</v>
      </c>
      <c r="G141" s="5">
        <v>18.2799421500313</v>
      </c>
      <c r="H141" s="5">
        <v>9.47327150873664</v>
      </c>
      <c r="I141" s="5">
        <v>9.47327150873664</v>
      </c>
      <c r="J141" s="5">
        <v>9.47327150873664</v>
      </c>
      <c r="K141" s="5">
        <v>0.247324772138564</v>
      </c>
      <c r="L141" s="5">
        <v>0.247324772138564</v>
      </c>
      <c r="M141" s="5">
        <v>0.247324772138564</v>
      </c>
      <c r="N141" s="5">
        <v>9.22594673659808</v>
      </c>
      <c r="O141" s="5">
        <v>9.22594673659808</v>
      </c>
      <c r="P141" s="5">
        <v>9.22594673659808</v>
      </c>
      <c r="Q141" s="5">
        <v>0.0</v>
      </c>
      <c r="R141" s="5">
        <v>0.0</v>
      </c>
      <c r="S141" s="5">
        <v>0.0</v>
      </c>
      <c r="T141" s="5">
        <v>27.753213658768</v>
      </c>
    </row>
    <row r="142">
      <c r="A142" s="5">
        <v>140.0</v>
      </c>
      <c r="B142" s="6">
        <v>43782.0</v>
      </c>
      <c r="C142" s="5">
        <v>18.3377837717074</v>
      </c>
      <c r="D142" s="5">
        <v>-12.0686344582662</v>
      </c>
      <c r="E142" s="5">
        <v>67.8631881650713</v>
      </c>
      <c r="F142" s="5">
        <v>18.3377837717074</v>
      </c>
      <c r="G142" s="5">
        <v>18.3377837717074</v>
      </c>
      <c r="H142" s="5">
        <v>9.93482062277653</v>
      </c>
      <c r="I142" s="5">
        <v>9.93482062277653</v>
      </c>
      <c r="J142" s="5">
        <v>9.93482062277653</v>
      </c>
      <c r="K142" s="5">
        <v>0.608132553628481</v>
      </c>
      <c r="L142" s="5">
        <v>0.608132553628481</v>
      </c>
      <c r="M142" s="5">
        <v>0.608132553628481</v>
      </c>
      <c r="N142" s="5">
        <v>9.32668806914804</v>
      </c>
      <c r="O142" s="5">
        <v>9.32668806914804</v>
      </c>
      <c r="P142" s="5">
        <v>9.32668806914804</v>
      </c>
      <c r="Q142" s="5">
        <v>0.0</v>
      </c>
      <c r="R142" s="5">
        <v>0.0</v>
      </c>
      <c r="S142" s="5">
        <v>0.0</v>
      </c>
      <c r="T142" s="5">
        <v>28.2726043944839</v>
      </c>
    </row>
    <row r="143">
      <c r="A143" s="5">
        <v>141.0</v>
      </c>
      <c r="B143" s="6">
        <v>43783.0</v>
      </c>
      <c r="C143" s="5">
        <v>18.3956253933834</v>
      </c>
      <c r="D143" s="5">
        <v>-12.7837384690411</v>
      </c>
      <c r="E143" s="5">
        <v>68.1718798127702</v>
      </c>
      <c r="F143" s="5">
        <v>18.3956253933834</v>
      </c>
      <c r="G143" s="5">
        <v>18.3956253933834</v>
      </c>
      <c r="H143" s="5">
        <v>9.26635959063775</v>
      </c>
      <c r="I143" s="5">
        <v>9.26635959063775</v>
      </c>
      <c r="J143" s="5">
        <v>9.26635959063775</v>
      </c>
      <c r="K143" s="5">
        <v>-0.225417905347706</v>
      </c>
      <c r="L143" s="5">
        <v>-0.225417905347706</v>
      </c>
      <c r="M143" s="5">
        <v>-0.225417905347706</v>
      </c>
      <c r="N143" s="5">
        <v>9.49177749598546</v>
      </c>
      <c r="O143" s="5">
        <v>9.49177749598546</v>
      </c>
      <c r="P143" s="5">
        <v>9.49177749598546</v>
      </c>
      <c r="Q143" s="5">
        <v>0.0</v>
      </c>
      <c r="R143" s="5">
        <v>0.0</v>
      </c>
      <c r="S143" s="5">
        <v>0.0</v>
      </c>
      <c r="T143" s="5">
        <v>27.6619849840212</v>
      </c>
    </row>
    <row r="144">
      <c r="A144" s="5">
        <v>142.0</v>
      </c>
      <c r="B144" s="6">
        <v>43784.0</v>
      </c>
      <c r="C144" s="5">
        <v>18.4534670150595</v>
      </c>
      <c r="D144" s="5">
        <v>-11.9653952672092</v>
      </c>
      <c r="E144" s="5">
        <v>66.5164533015392</v>
      </c>
      <c r="F144" s="5">
        <v>18.4534670150595</v>
      </c>
      <c r="G144" s="5">
        <v>18.4534670150595</v>
      </c>
      <c r="H144" s="5">
        <v>8.98454245724361</v>
      </c>
      <c r="I144" s="5">
        <v>8.98454245724361</v>
      </c>
      <c r="J144" s="5">
        <v>8.98454245724361</v>
      </c>
      <c r="K144" s="5">
        <v>-0.73964008128036</v>
      </c>
      <c r="L144" s="5">
        <v>-0.73964008128036</v>
      </c>
      <c r="M144" s="5">
        <v>-0.73964008128036</v>
      </c>
      <c r="N144" s="5">
        <v>9.72418253852397</v>
      </c>
      <c r="O144" s="5">
        <v>9.72418253852397</v>
      </c>
      <c r="P144" s="5">
        <v>9.72418253852397</v>
      </c>
      <c r="Q144" s="5">
        <v>0.0</v>
      </c>
      <c r="R144" s="5">
        <v>0.0</v>
      </c>
      <c r="S144" s="5">
        <v>0.0</v>
      </c>
      <c r="T144" s="5">
        <v>27.4380094723031</v>
      </c>
    </row>
    <row r="145">
      <c r="A145" s="5">
        <v>143.0</v>
      </c>
      <c r="B145" s="6">
        <v>43787.0</v>
      </c>
      <c r="C145" s="5">
        <v>18.6269918800876</v>
      </c>
      <c r="D145" s="5">
        <v>-11.1146818104227</v>
      </c>
      <c r="E145" s="5">
        <v>70.5891183808039</v>
      </c>
      <c r="F145" s="5">
        <v>18.6269918800876</v>
      </c>
      <c r="G145" s="5">
        <v>18.6269918800876</v>
      </c>
      <c r="H145" s="5">
        <v>11.981626423264</v>
      </c>
      <c r="I145" s="5">
        <v>11.981626423264</v>
      </c>
      <c r="J145" s="5">
        <v>11.981626423264</v>
      </c>
      <c r="K145" s="5">
        <v>1.16457933345086</v>
      </c>
      <c r="L145" s="5">
        <v>1.16457933345086</v>
      </c>
      <c r="M145" s="5">
        <v>1.16457933345086</v>
      </c>
      <c r="N145" s="5">
        <v>10.8170470898132</v>
      </c>
      <c r="O145" s="5">
        <v>10.8170470898132</v>
      </c>
      <c r="P145" s="5">
        <v>10.8170470898132</v>
      </c>
      <c r="Q145" s="5">
        <v>0.0</v>
      </c>
      <c r="R145" s="5">
        <v>0.0</v>
      </c>
      <c r="S145" s="5">
        <v>0.0</v>
      </c>
      <c r="T145" s="5">
        <v>30.6086183033517</v>
      </c>
    </row>
    <row r="146">
      <c r="A146" s="5">
        <v>144.0</v>
      </c>
      <c r="B146" s="6">
        <v>43788.0</v>
      </c>
      <c r="C146" s="5">
        <v>18.6848335017636</v>
      </c>
      <c r="D146" s="5">
        <v>-8.45065952529567</v>
      </c>
      <c r="E146" s="5">
        <v>70.8522203585059</v>
      </c>
      <c r="F146" s="5">
        <v>18.6848335017636</v>
      </c>
      <c r="G146" s="5">
        <v>18.6848335017636</v>
      </c>
      <c r="H146" s="5">
        <v>11.5450859823209</v>
      </c>
      <c r="I146" s="5">
        <v>11.5450859823209</v>
      </c>
      <c r="J146" s="5">
        <v>11.5450859823209</v>
      </c>
      <c r="K146" s="5">
        <v>0.247324772137878</v>
      </c>
      <c r="L146" s="5">
        <v>0.247324772137878</v>
      </c>
      <c r="M146" s="5">
        <v>0.247324772137878</v>
      </c>
      <c r="N146" s="5">
        <v>11.2977612101831</v>
      </c>
      <c r="O146" s="5">
        <v>11.2977612101831</v>
      </c>
      <c r="P146" s="5">
        <v>11.2977612101831</v>
      </c>
      <c r="Q146" s="5">
        <v>0.0</v>
      </c>
      <c r="R146" s="5">
        <v>0.0</v>
      </c>
      <c r="S146" s="5">
        <v>0.0</v>
      </c>
      <c r="T146" s="5">
        <v>30.2299194840846</v>
      </c>
    </row>
    <row r="147">
      <c r="A147" s="5">
        <v>145.0</v>
      </c>
      <c r="B147" s="6">
        <v>43789.0</v>
      </c>
      <c r="C147" s="5">
        <v>18.7426751234396</v>
      </c>
      <c r="D147" s="5">
        <v>-9.56434703709785</v>
      </c>
      <c r="E147" s="5">
        <v>74.2501576111287</v>
      </c>
      <c r="F147" s="5">
        <v>18.7426751234396</v>
      </c>
      <c r="G147" s="5">
        <v>18.7426751234396</v>
      </c>
      <c r="H147" s="5">
        <v>12.4310760618944</v>
      </c>
      <c r="I147" s="5">
        <v>12.4310760618944</v>
      </c>
      <c r="J147" s="5">
        <v>12.4310760618944</v>
      </c>
      <c r="K147" s="5">
        <v>0.6081325536257</v>
      </c>
      <c r="L147" s="5">
        <v>0.6081325536257</v>
      </c>
      <c r="M147" s="5">
        <v>0.6081325536257</v>
      </c>
      <c r="N147" s="5">
        <v>11.8229435082687</v>
      </c>
      <c r="O147" s="5">
        <v>11.8229435082687</v>
      </c>
      <c r="P147" s="5">
        <v>11.8229435082687</v>
      </c>
      <c r="Q147" s="5">
        <v>0.0</v>
      </c>
      <c r="R147" s="5">
        <v>0.0</v>
      </c>
      <c r="S147" s="5">
        <v>0.0</v>
      </c>
      <c r="T147" s="5">
        <v>31.1737511853341</v>
      </c>
    </row>
    <row r="148">
      <c r="A148" s="5">
        <v>146.0</v>
      </c>
      <c r="B148" s="6">
        <v>43790.0</v>
      </c>
      <c r="C148" s="5">
        <v>18.8005167451157</v>
      </c>
      <c r="D148" s="5">
        <v>-7.28757102733481</v>
      </c>
      <c r="E148" s="5">
        <v>70.1523820251451</v>
      </c>
      <c r="F148" s="5">
        <v>18.8005167451157</v>
      </c>
      <c r="G148" s="5">
        <v>18.8005167451157</v>
      </c>
      <c r="H148" s="5">
        <v>12.155738543667</v>
      </c>
      <c r="I148" s="5">
        <v>12.155738543667</v>
      </c>
      <c r="J148" s="5">
        <v>12.155738543667</v>
      </c>
      <c r="K148" s="5">
        <v>-0.225417905343899</v>
      </c>
      <c r="L148" s="5">
        <v>-0.225417905343899</v>
      </c>
      <c r="M148" s="5">
        <v>-0.225417905343899</v>
      </c>
      <c r="N148" s="5">
        <v>12.3811564490109</v>
      </c>
      <c r="O148" s="5">
        <v>12.3811564490109</v>
      </c>
      <c r="P148" s="5">
        <v>12.3811564490109</v>
      </c>
      <c r="Q148" s="5">
        <v>0.0</v>
      </c>
      <c r="R148" s="5">
        <v>0.0</v>
      </c>
      <c r="S148" s="5">
        <v>0.0</v>
      </c>
      <c r="T148" s="5">
        <v>30.9562552887827</v>
      </c>
    </row>
    <row r="149">
      <c r="A149" s="5">
        <v>147.0</v>
      </c>
      <c r="B149" s="6">
        <v>43791.0</v>
      </c>
      <c r="C149" s="5">
        <v>18.8583583667917</v>
      </c>
      <c r="D149" s="5">
        <v>-8.71956555708524</v>
      </c>
      <c r="E149" s="5">
        <v>68.2491742361078</v>
      </c>
      <c r="F149" s="5">
        <v>18.8583583667917</v>
      </c>
      <c r="G149" s="5">
        <v>18.8583583667917</v>
      </c>
      <c r="H149" s="5">
        <v>12.2196065344265</v>
      </c>
      <c r="I149" s="5">
        <v>12.2196065344265</v>
      </c>
      <c r="J149" s="5">
        <v>12.2196065344265</v>
      </c>
      <c r="K149" s="5">
        <v>-0.739640081281516</v>
      </c>
      <c r="L149" s="5">
        <v>-0.739640081281516</v>
      </c>
      <c r="M149" s="5">
        <v>-0.739640081281516</v>
      </c>
      <c r="N149" s="5">
        <v>12.959246615708</v>
      </c>
      <c r="O149" s="5">
        <v>12.959246615708</v>
      </c>
      <c r="P149" s="5">
        <v>12.959246615708</v>
      </c>
      <c r="Q149" s="5">
        <v>0.0</v>
      </c>
      <c r="R149" s="5">
        <v>0.0</v>
      </c>
      <c r="S149" s="5">
        <v>0.0</v>
      </c>
      <c r="T149" s="5">
        <v>31.0779649012182</v>
      </c>
    </row>
    <row r="150">
      <c r="A150" s="5">
        <v>148.0</v>
      </c>
      <c r="B150" s="6">
        <v>43794.0</v>
      </c>
      <c r="C150" s="5">
        <v>19.0318832318198</v>
      </c>
      <c r="D150" s="5">
        <v>-6.23301485762042</v>
      </c>
      <c r="E150" s="5">
        <v>73.7294463513349</v>
      </c>
      <c r="F150" s="5">
        <v>19.0318832318198</v>
      </c>
      <c r="G150" s="5">
        <v>19.0318832318198</v>
      </c>
      <c r="H150" s="5">
        <v>15.8282741617996</v>
      </c>
      <c r="I150" s="5">
        <v>15.8282741617996</v>
      </c>
      <c r="J150" s="5">
        <v>15.8282741617996</v>
      </c>
      <c r="K150" s="5">
        <v>1.16457933345023</v>
      </c>
      <c r="L150" s="5">
        <v>1.16457933345023</v>
      </c>
      <c r="M150" s="5">
        <v>1.16457933345023</v>
      </c>
      <c r="N150" s="5">
        <v>14.6636948283494</v>
      </c>
      <c r="O150" s="5">
        <v>14.6636948283494</v>
      </c>
      <c r="P150" s="5">
        <v>14.6636948283494</v>
      </c>
      <c r="Q150" s="5">
        <v>0.0</v>
      </c>
      <c r="R150" s="5">
        <v>0.0</v>
      </c>
      <c r="S150" s="5">
        <v>0.0</v>
      </c>
      <c r="T150" s="5">
        <v>34.8601573936195</v>
      </c>
    </row>
    <row r="151">
      <c r="A151" s="5">
        <v>149.0</v>
      </c>
      <c r="B151" s="6">
        <v>43795.0</v>
      </c>
      <c r="C151" s="5">
        <v>19.0897248534958</v>
      </c>
      <c r="D151" s="5">
        <v>-6.87488647655605</v>
      </c>
      <c r="E151" s="5">
        <v>75.368502004545</v>
      </c>
      <c r="F151" s="5">
        <v>19.0897248534958</v>
      </c>
      <c r="G151" s="5">
        <v>19.0897248534958</v>
      </c>
      <c r="H151" s="5">
        <v>15.4167891622927</v>
      </c>
      <c r="I151" s="5">
        <v>15.4167891622927</v>
      </c>
      <c r="J151" s="5">
        <v>15.4167891622927</v>
      </c>
      <c r="K151" s="5">
        <v>0.247324772137966</v>
      </c>
      <c r="L151" s="5">
        <v>0.247324772137966</v>
      </c>
      <c r="M151" s="5">
        <v>0.247324772137966</v>
      </c>
      <c r="N151" s="5">
        <v>15.1694643901548</v>
      </c>
      <c r="O151" s="5">
        <v>15.1694643901548</v>
      </c>
      <c r="P151" s="5">
        <v>15.1694643901548</v>
      </c>
      <c r="Q151" s="5">
        <v>0.0</v>
      </c>
      <c r="R151" s="5">
        <v>0.0</v>
      </c>
      <c r="S151" s="5">
        <v>0.0</v>
      </c>
      <c r="T151" s="5">
        <v>34.5065140157886</v>
      </c>
    </row>
    <row r="152">
      <c r="A152" s="5">
        <v>150.0</v>
      </c>
      <c r="B152" s="6">
        <v>43796.0</v>
      </c>
      <c r="C152" s="5">
        <v>19.1475664751719</v>
      </c>
      <c r="D152" s="5">
        <v>-4.01445413791196</v>
      </c>
      <c r="E152" s="5">
        <v>76.4441952407412</v>
      </c>
      <c r="F152" s="5">
        <v>19.1475664751719</v>
      </c>
      <c r="G152" s="5">
        <v>19.1475664751719</v>
      </c>
      <c r="H152" s="5">
        <v>16.2262494290658</v>
      </c>
      <c r="I152" s="5">
        <v>16.2262494290658</v>
      </c>
      <c r="J152" s="5">
        <v>16.2262494290658</v>
      </c>
      <c r="K152" s="5">
        <v>0.608132553627479</v>
      </c>
      <c r="L152" s="5">
        <v>0.608132553627479</v>
      </c>
      <c r="M152" s="5">
        <v>0.608132553627479</v>
      </c>
      <c r="N152" s="5">
        <v>15.6181168754383</v>
      </c>
      <c r="O152" s="5">
        <v>15.6181168754383</v>
      </c>
      <c r="P152" s="5">
        <v>15.6181168754383</v>
      </c>
      <c r="Q152" s="5">
        <v>0.0</v>
      </c>
      <c r="R152" s="5">
        <v>0.0</v>
      </c>
      <c r="S152" s="5">
        <v>0.0</v>
      </c>
      <c r="T152" s="5">
        <v>35.3738159042377</v>
      </c>
    </row>
    <row r="153">
      <c r="A153" s="5">
        <v>151.0</v>
      </c>
      <c r="B153" s="6">
        <v>43798.0</v>
      </c>
      <c r="C153" s="5">
        <v>19.263249718524</v>
      </c>
      <c r="D153" s="5">
        <v>-5.60026250834276</v>
      </c>
      <c r="E153" s="5">
        <v>75.1877878885473</v>
      </c>
      <c r="F153" s="5">
        <v>19.263249718524</v>
      </c>
      <c r="G153" s="5">
        <v>19.263249718524</v>
      </c>
      <c r="H153" s="5">
        <v>15.5484122711431</v>
      </c>
      <c r="I153" s="5">
        <v>15.5484122711431</v>
      </c>
      <c r="J153" s="5">
        <v>15.5484122711431</v>
      </c>
      <c r="K153" s="5">
        <v>-0.739640081282672</v>
      </c>
      <c r="L153" s="5">
        <v>-0.739640081282672</v>
      </c>
      <c r="M153" s="5">
        <v>-0.739640081282672</v>
      </c>
      <c r="N153" s="5">
        <v>16.2880523524258</v>
      </c>
      <c r="O153" s="5">
        <v>16.2880523524258</v>
      </c>
      <c r="P153" s="5">
        <v>16.2880523524258</v>
      </c>
      <c r="Q153" s="5">
        <v>0.0</v>
      </c>
      <c r="R153" s="5">
        <v>0.0</v>
      </c>
      <c r="S153" s="5">
        <v>0.0</v>
      </c>
      <c r="T153" s="5">
        <v>34.8116619896671</v>
      </c>
    </row>
    <row r="154">
      <c r="A154" s="5">
        <v>152.0</v>
      </c>
      <c r="B154" s="6">
        <v>43801.0</v>
      </c>
      <c r="C154" s="5">
        <v>19.4367745835521</v>
      </c>
      <c r="D154" s="5">
        <v>-2.1309953521861</v>
      </c>
      <c r="E154" s="5">
        <v>79.8906975041763</v>
      </c>
      <c r="F154" s="5">
        <v>19.4367745835521</v>
      </c>
      <c r="G154" s="5">
        <v>19.4367745835521</v>
      </c>
      <c r="H154" s="5">
        <v>17.725576646316</v>
      </c>
      <c r="I154" s="5">
        <v>17.725576646316</v>
      </c>
      <c r="J154" s="5">
        <v>17.725576646316</v>
      </c>
      <c r="K154" s="5">
        <v>1.16457933345067</v>
      </c>
      <c r="L154" s="5">
        <v>1.16457933345067</v>
      </c>
      <c r="M154" s="5">
        <v>1.16457933345067</v>
      </c>
      <c r="N154" s="5">
        <v>16.5609973128653</v>
      </c>
      <c r="O154" s="5">
        <v>16.5609973128653</v>
      </c>
      <c r="P154" s="5">
        <v>16.5609973128653</v>
      </c>
      <c r="Q154" s="5">
        <v>0.0</v>
      </c>
      <c r="R154" s="5">
        <v>0.0</v>
      </c>
      <c r="S154" s="5">
        <v>0.0</v>
      </c>
      <c r="T154" s="5">
        <v>37.1623512298681</v>
      </c>
    </row>
    <row r="155">
      <c r="A155" s="5">
        <v>153.0</v>
      </c>
      <c r="B155" s="6">
        <v>43802.0</v>
      </c>
      <c r="C155" s="5">
        <v>19.4946162052281</v>
      </c>
      <c r="D155" s="5">
        <v>-2.2249513518502</v>
      </c>
      <c r="E155" s="5">
        <v>77.6655886912331</v>
      </c>
      <c r="F155" s="5">
        <v>19.4946162052281</v>
      </c>
      <c r="G155" s="5">
        <v>19.4946162052281</v>
      </c>
      <c r="H155" s="5">
        <v>16.6769761038518</v>
      </c>
      <c r="I155" s="5">
        <v>16.6769761038518</v>
      </c>
      <c r="J155" s="5">
        <v>16.6769761038518</v>
      </c>
      <c r="K155" s="5">
        <v>0.247324772138055</v>
      </c>
      <c r="L155" s="5">
        <v>0.247324772138055</v>
      </c>
      <c r="M155" s="5">
        <v>0.247324772138055</v>
      </c>
      <c r="N155" s="5">
        <v>16.4296513317138</v>
      </c>
      <c r="O155" s="5">
        <v>16.4296513317138</v>
      </c>
      <c r="P155" s="5">
        <v>16.4296513317138</v>
      </c>
      <c r="Q155" s="5">
        <v>0.0</v>
      </c>
      <c r="R155" s="5">
        <v>0.0</v>
      </c>
      <c r="S155" s="5">
        <v>0.0</v>
      </c>
      <c r="T155" s="5">
        <v>36.17159230908</v>
      </c>
    </row>
    <row r="156">
      <c r="A156" s="5">
        <v>154.0</v>
      </c>
      <c r="B156" s="6">
        <v>43803.0</v>
      </c>
      <c r="C156" s="5">
        <v>19.5524578269041</v>
      </c>
      <c r="D156" s="5">
        <v>-1.18015366536924</v>
      </c>
      <c r="E156" s="5">
        <v>78.2273692352271</v>
      </c>
      <c r="F156" s="5">
        <v>19.5524578269041</v>
      </c>
      <c r="G156" s="5">
        <v>19.5524578269041</v>
      </c>
      <c r="H156" s="5">
        <v>16.7920747353139</v>
      </c>
      <c r="I156" s="5">
        <v>16.7920747353139</v>
      </c>
      <c r="J156" s="5">
        <v>16.7920747353139</v>
      </c>
      <c r="K156" s="5">
        <v>0.608132553624698</v>
      </c>
      <c r="L156" s="5">
        <v>0.608132553624698</v>
      </c>
      <c r="M156" s="5">
        <v>0.608132553624698</v>
      </c>
      <c r="N156" s="5">
        <v>16.1839421816892</v>
      </c>
      <c r="O156" s="5">
        <v>16.1839421816892</v>
      </c>
      <c r="P156" s="5">
        <v>16.1839421816892</v>
      </c>
      <c r="Q156" s="5">
        <v>0.0</v>
      </c>
      <c r="R156" s="5">
        <v>0.0</v>
      </c>
      <c r="S156" s="5">
        <v>0.0</v>
      </c>
      <c r="T156" s="5">
        <v>36.3445325622181</v>
      </c>
    </row>
    <row r="157">
      <c r="A157" s="5">
        <v>155.0</v>
      </c>
      <c r="B157" s="6">
        <v>43804.0</v>
      </c>
      <c r="C157" s="5">
        <v>19.6102994485802</v>
      </c>
      <c r="D157" s="5">
        <v>-4.56699112078905</v>
      </c>
      <c r="E157" s="5">
        <v>74.4810130318831</v>
      </c>
      <c r="F157" s="5">
        <v>19.6102994485802</v>
      </c>
      <c r="G157" s="5">
        <v>19.6102994485802</v>
      </c>
      <c r="H157" s="5">
        <v>15.6010677639352</v>
      </c>
      <c r="I157" s="5">
        <v>15.6010677639352</v>
      </c>
      <c r="J157" s="5">
        <v>15.6010677639352</v>
      </c>
      <c r="K157" s="5">
        <v>-0.225417905348866</v>
      </c>
      <c r="L157" s="5">
        <v>-0.225417905348866</v>
      </c>
      <c r="M157" s="5">
        <v>-0.225417905348866</v>
      </c>
      <c r="N157" s="5">
        <v>15.8264856692841</v>
      </c>
      <c r="O157" s="5">
        <v>15.8264856692841</v>
      </c>
      <c r="P157" s="5">
        <v>15.8264856692841</v>
      </c>
      <c r="Q157" s="5">
        <v>0.0</v>
      </c>
      <c r="R157" s="5">
        <v>0.0</v>
      </c>
      <c r="S157" s="5">
        <v>0.0</v>
      </c>
      <c r="T157" s="5">
        <v>35.2113672125154</v>
      </c>
    </row>
    <row r="158">
      <c r="A158" s="5">
        <v>156.0</v>
      </c>
      <c r="B158" s="6">
        <v>43805.0</v>
      </c>
      <c r="C158" s="5">
        <v>19.6681410702562</v>
      </c>
      <c r="D158" s="5">
        <v>-10.4496139054491</v>
      </c>
      <c r="E158" s="5">
        <v>77.0898859741186</v>
      </c>
      <c r="F158" s="5">
        <v>19.6681410702562</v>
      </c>
      <c r="G158" s="5">
        <v>19.6681410702562</v>
      </c>
      <c r="H158" s="5">
        <v>14.6233157503562</v>
      </c>
      <c r="I158" s="5">
        <v>14.6233157503562</v>
      </c>
      <c r="J158" s="5">
        <v>14.6233157503562</v>
      </c>
      <c r="K158" s="5">
        <v>-0.739640081279364</v>
      </c>
      <c r="L158" s="5">
        <v>-0.739640081279364</v>
      </c>
      <c r="M158" s="5">
        <v>-0.739640081279364</v>
      </c>
      <c r="N158" s="5">
        <v>15.3629558316356</v>
      </c>
      <c r="O158" s="5">
        <v>15.3629558316356</v>
      </c>
      <c r="P158" s="5">
        <v>15.3629558316356</v>
      </c>
      <c r="Q158" s="5">
        <v>0.0</v>
      </c>
      <c r="R158" s="5">
        <v>0.0</v>
      </c>
      <c r="S158" s="5">
        <v>0.0</v>
      </c>
      <c r="T158" s="5">
        <v>34.2914568206125</v>
      </c>
    </row>
    <row r="159">
      <c r="A159" s="5">
        <v>157.0</v>
      </c>
      <c r="B159" s="6">
        <v>43808.0</v>
      </c>
      <c r="C159" s="5">
        <v>19.8416659352843</v>
      </c>
      <c r="D159" s="5">
        <v>-5.28372978928691</v>
      </c>
      <c r="E159" s="5">
        <v>75.5295545621498</v>
      </c>
      <c r="F159" s="5">
        <v>19.8416659352843</v>
      </c>
      <c r="G159" s="5">
        <v>19.8416659352843</v>
      </c>
      <c r="H159" s="5">
        <v>14.6005425130001</v>
      </c>
      <c r="I159" s="5">
        <v>14.6005425130001</v>
      </c>
      <c r="J159" s="5">
        <v>14.6005425130001</v>
      </c>
      <c r="K159" s="5">
        <v>1.16457933345091</v>
      </c>
      <c r="L159" s="5">
        <v>1.16457933345091</v>
      </c>
      <c r="M159" s="5">
        <v>1.16457933345091</v>
      </c>
      <c r="N159" s="5">
        <v>13.4359631795492</v>
      </c>
      <c r="O159" s="5">
        <v>13.4359631795492</v>
      </c>
      <c r="P159" s="5">
        <v>13.4359631795492</v>
      </c>
      <c r="Q159" s="5">
        <v>0.0</v>
      </c>
      <c r="R159" s="5">
        <v>0.0</v>
      </c>
      <c r="S159" s="5">
        <v>0.0</v>
      </c>
      <c r="T159" s="5">
        <v>34.4422084482845</v>
      </c>
    </row>
    <row r="160">
      <c r="A160" s="5">
        <v>158.0</v>
      </c>
      <c r="B160" s="6">
        <v>43809.0</v>
      </c>
      <c r="C160" s="5">
        <v>19.8995075569603</v>
      </c>
      <c r="D160" s="5">
        <v>-8.55531037684476</v>
      </c>
      <c r="E160" s="5">
        <v>72.3657965909519</v>
      </c>
      <c r="F160" s="5">
        <v>19.8995075569603</v>
      </c>
      <c r="G160" s="5">
        <v>19.8995075569603</v>
      </c>
      <c r="H160" s="5">
        <v>12.9082803648785</v>
      </c>
      <c r="I160" s="5">
        <v>12.9082803648785</v>
      </c>
      <c r="J160" s="5">
        <v>12.9082803648785</v>
      </c>
      <c r="K160" s="5">
        <v>0.247324772138143</v>
      </c>
      <c r="L160" s="5">
        <v>0.247324772138143</v>
      </c>
      <c r="M160" s="5">
        <v>0.247324772138143</v>
      </c>
      <c r="N160" s="5">
        <v>12.6609555927403</v>
      </c>
      <c r="O160" s="5">
        <v>12.6609555927403</v>
      </c>
      <c r="P160" s="5">
        <v>12.6609555927403</v>
      </c>
      <c r="Q160" s="5">
        <v>0.0</v>
      </c>
      <c r="R160" s="5">
        <v>0.0</v>
      </c>
      <c r="S160" s="5">
        <v>0.0</v>
      </c>
      <c r="T160" s="5">
        <v>32.8077879218388</v>
      </c>
    </row>
    <row r="161">
      <c r="A161" s="5">
        <v>159.0</v>
      </c>
      <c r="B161" s="6">
        <v>43810.0</v>
      </c>
      <c r="C161" s="5">
        <v>19.9573491786364</v>
      </c>
      <c r="D161" s="5">
        <v>-9.87966029974195</v>
      </c>
      <c r="E161" s="5">
        <v>73.293733159975</v>
      </c>
      <c r="F161" s="5">
        <v>19.9573491786364</v>
      </c>
      <c r="G161" s="5">
        <v>19.9573491786364</v>
      </c>
      <c r="H161" s="5">
        <v>12.4560052912058</v>
      </c>
      <c r="I161" s="5">
        <v>12.4560052912058</v>
      </c>
      <c r="J161" s="5">
        <v>12.4560052912058</v>
      </c>
      <c r="K161" s="5">
        <v>0.608132553627254</v>
      </c>
      <c r="L161" s="5">
        <v>0.608132553627254</v>
      </c>
      <c r="M161" s="5">
        <v>0.608132553627254</v>
      </c>
      <c r="N161" s="5">
        <v>11.8478727375785</v>
      </c>
      <c r="O161" s="5">
        <v>11.8478727375785</v>
      </c>
      <c r="P161" s="5">
        <v>11.8478727375785</v>
      </c>
      <c r="Q161" s="5">
        <v>0.0</v>
      </c>
      <c r="R161" s="5">
        <v>0.0</v>
      </c>
      <c r="S161" s="5">
        <v>0.0</v>
      </c>
      <c r="T161" s="5">
        <v>32.4133544698422</v>
      </c>
    </row>
    <row r="162">
      <c r="A162" s="5">
        <v>160.0</v>
      </c>
      <c r="B162" s="6">
        <v>43811.0</v>
      </c>
      <c r="C162" s="5">
        <v>20.0151908003124</v>
      </c>
      <c r="D162" s="5">
        <v>-8.38754490884891</v>
      </c>
      <c r="E162" s="5">
        <v>69.5058317908336</v>
      </c>
      <c r="F162" s="5">
        <v>20.0151908003124</v>
      </c>
      <c r="G162" s="5">
        <v>20.0151908003124</v>
      </c>
      <c r="H162" s="5">
        <v>10.7904766854911</v>
      </c>
      <c r="I162" s="5">
        <v>10.7904766854911</v>
      </c>
      <c r="J162" s="5">
        <v>10.7904766854911</v>
      </c>
      <c r="K162" s="5">
        <v>-0.225417905348445</v>
      </c>
      <c r="L162" s="5">
        <v>-0.225417905348445</v>
      </c>
      <c r="M162" s="5">
        <v>-0.225417905348445</v>
      </c>
      <c r="N162" s="5">
        <v>11.0158945908395</v>
      </c>
      <c r="O162" s="5">
        <v>11.0158945908395</v>
      </c>
      <c r="P162" s="5">
        <v>11.0158945908395</v>
      </c>
      <c r="Q162" s="5">
        <v>0.0</v>
      </c>
      <c r="R162" s="5">
        <v>0.0</v>
      </c>
      <c r="S162" s="5">
        <v>0.0</v>
      </c>
      <c r="T162" s="5">
        <v>30.8056674858035</v>
      </c>
    </row>
    <row r="163">
      <c r="A163" s="5">
        <v>161.0</v>
      </c>
      <c r="B163" s="6">
        <v>43812.0</v>
      </c>
      <c r="C163" s="5">
        <v>20.0730324219884</v>
      </c>
      <c r="D163" s="5">
        <v>-9.92253968080093</v>
      </c>
      <c r="E163" s="5">
        <v>72.5152135402369</v>
      </c>
      <c r="F163" s="5">
        <v>20.0730324219884</v>
      </c>
      <c r="G163" s="5">
        <v>20.0730324219884</v>
      </c>
      <c r="H163" s="5">
        <v>9.4453472012254</v>
      </c>
      <c r="I163" s="5">
        <v>9.4453472012254</v>
      </c>
      <c r="J163" s="5">
        <v>9.4453472012254</v>
      </c>
      <c r="K163" s="5">
        <v>-0.739640081283952</v>
      </c>
      <c r="L163" s="5">
        <v>-0.739640081283952</v>
      </c>
      <c r="M163" s="5">
        <v>-0.739640081283952</v>
      </c>
      <c r="N163" s="5">
        <v>10.1849872825093</v>
      </c>
      <c r="O163" s="5">
        <v>10.1849872825093</v>
      </c>
      <c r="P163" s="5">
        <v>10.1849872825093</v>
      </c>
      <c r="Q163" s="5">
        <v>0.0</v>
      </c>
      <c r="R163" s="5">
        <v>0.0</v>
      </c>
      <c r="S163" s="5">
        <v>0.0</v>
      </c>
      <c r="T163" s="5">
        <v>29.5183796232139</v>
      </c>
    </row>
    <row r="164">
      <c r="A164" s="5">
        <v>162.0</v>
      </c>
      <c r="B164" s="6">
        <v>43815.0</v>
      </c>
      <c r="C164" s="5">
        <v>20.8189965818119</v>
      </c>
      <c r="D164" s="5">
        <v>-7.6134484784044</v>
      </c>
      <c r="E164" s="5">
        <v>69.5308662020311</v>
      </c>
      <c r="F164" s="5">
        <v>20.8189965818119</v>
      </c>
      <c r="G164" s="5">
        <v>20.8189965818119</v>
      </c>
      <c r="H164" s="5">
        <v>9.06324293185835</v>
      </c>
      <c r="I164" s="5">
        <v>9.06324293185835</v>
      </c>
      <c r="J164" s="5">
        <v>9.06324293185835</v>
      </c>
      <c r="K164" s="5">
        <v>1.16457933345028</v>
      </c>
      <c r="L164" s="5">
        <v>1.16457933345028</v>
      </c>
      <c r="M164" s="5">
        <v>1.16457933345028</v>
      </c>
      <c r="N164" s="5">
        <v>7.89866359840807</v>
      </c>
      <c r="O164" s="5">
        <v>7.89866359840807</v>
      </c>
      <c r="P164" s="5">
        <v>7.89866359840807</v>
      </c>
      <c r="Q164" s="5">
        <v>0.0</v>
      </c>
      <c r="R164" s="5">
        <v>0.0</v>
      </c>
      <c r="S164" s="5">
        <v>0.0</v>
      </c>
      <c r="T164" s="5">
        <v>29.8822395136702</v>
      </c>
    </row>
    <row r="165">
      <c r="A165" s="5">
        <v>163.0</v>
      </c>
      <c r="B165" s="6">
        <v>43816.0</v>
      </c>
      <c r="C165" s="5">
        <v>21.067651301753</v>
      </c>
      <c r="D165" s="5">
        <v>-9.7541799725184</v>
      </c>
      <c r="E165" s="5">
        <v>68.8370803693012</v>
      </c>
      <c r="F165" s="5">
        <v>21.067651301753</v>
      </c>
      <c r="G165" s="5">
        <v>21.067651301753</v>
      </c>
      <c r="H165" s="5">
        <v>7.51555817325439</v>
      </c>
      <c r="I165" s="5">
        <v>7.51555817325439</v>
      </c>
      <c r="J165" s="5">
        <v>7.51555817325439</v>
      </c>
      <c r="K165" s="5">
        <v>0.247324772137457</v>
      </c>
      <c r="L165" s="5">
        <v>0.247324772137457</v>
      </c>
      <c r="M165" s="5">
        <v>0.247324772137457</v>
      </c>
      <c r="N165" s="5">
        <v>7.26823340111693</v>
      </c>
      <c r="O165" s="5">
        <v>7.26823340111693</v>
      </c>
      <c r="P165" s="5">
        <v>7.26823340111693</v>
      </c>
      <c r="Q165" s="5">
        <v>0.0</v>
      </c>
      <c r="R165" s="5">
        <v>0.0</v>
      </c>
      <c r="S165" s="5">
        <v>0.0</v>
      </c>
      <c r="T165" s="5">
        <v>28.5832094750074</v>
      </c>
    </row>
    <row r="166">
      <c r="A166" s="5">
        <v>164.0</v>
      </c>
      <c r="B166" s="6">
        <v>43817.0</v>
      </c>
      <c r="C166" s="5">
        <v>21.3163060216941</v>
      </c>
      <c r="D166" s="5">
        <v>-12.5605861126353</v>
      </c>
      <c r="E166" s="5">
        <v>70.3690451515381</v>
      </c>
      <c r="F166" s="5">
        <v>21.3163060216941</v>
      </c>
      <c r="G166" s="5">
        <v>21.3163060216941</v>
      </c>
      <c r="H166" s="5">
        <v>7.33944916638262</v>
      </c>
      <c r="I166" s="5">
        <v>7.33944916638262</v>
      </c>
      <c r="J166" s="5">
        <v>7.33944916638262</v>
      </c>
      <c r="K166" s="5">
        <v>0.608132553626364</v>
      </c>
      <c r="L166" s="5">
        <v>0.608132553626364</v>
      </c>
      <c r="M166" s="5">
        <v>0.608132553626364</v>
      </c>
      <c r="N166" s="5">
        <v>6.73131661275626</v>
      </c>
      <c r="O166" s="5">
        <v>6.73131661275626</v>
      </c>
      <c r="P166" s="5">
        <v>6.73131661275626</v>
      </c>
      <c r="Q166" s="5">
        <v>0.0</v>
      </c>
      <c r="R166" s="5">
        <v>0.0</v>
      </c>
      <c r="S166" s="5">
        <v>0.0</v>
      </c>
      <c r="T166" s="5">
        <v>28.6557551880768</v>
      </c>
    </row>
    <row r="167">
      <c r="A167" s="5">
        <v>165.0</v>
      </c>
      <c r="B167" s="6">
        <v>43818.0</v>
      </c>
      <c r="C167" s="5">
        <v>21.5649607416353</v>
      </c>
      <c r="D167" s="5">
        <v>-14.958595551238</v>
      </c>
      <c r="E167" s="5">
        <v>67.1418139751426</v>
      </c>
      <c r="F167" s="5">
        <v>21.5649607416353</v>
      </c>
      <c r="G167" s="5">
        <v>21.5649607416353</v>
      </c>
      <c r="H167" s="5">
        <v>6.07581249468212</v>
      </c>
      <c r="I167" s="5">
        <v>6.07581249468212</v>
      </c>
      <c r="J167" s="5">
        <v>6.07581249468212</v>
      </c>
      <c r="K167" s="5">
        <v>-0.225417905351409</v>
      </c>
      <c r="L167" s="5">
        <v>-0.225417905351409</v>
      </c>
      <c r="M167" s="5">
        <v>-0.225417905351409</v>
      </c>
      <c r="N167" s="5">
        <v>6.30123040003353</v>
      </c>
      <c r="O167" s="5">
        <v>6.30123040003353</v>
      </c>
      <c r="P167" s="5">
        <v>6.30123040003353</v>
      </c>
      <c r="Q167" s="5">
        <v>0.0</v>
      </c>
      <c r="R167" s="5">
        <v>0.0</v>
      </c>
      <c r="S167" s="5">
        <v>0.0</v>
      </c>
      <c r="T167" s="5">
        <v>27.6407732363174</v>
      </c>
    </row>
    <row r="168">
      <c r="A168" s="5">
        <v>166.0</v>
      </c>
      <c r="B168" s="6">
        <v>43819.0</v>
      </c>
      <c r="C168" s="5">
        <v>21.8136154615764</v>
      </c>
      <c r="D168" s="5">
        <v>-12.019423869425</v>
      </c>
      <c r="E168" s="5">
        <v>70.1714830070231</v>
      </c>
      <c r="F168" s="5">
        <v>21.8136154615764</v>
      </c>
      <c r="G168" s="5">
        <v>21.8136154615764</v>
      </c>
      <c r="H168" s="5">
        <v>5.24887323374493</v>
      </c>
      <c r="I168" s="5">
        <v>5.24887323374493</v>
      </c>
      <c r="J168" s="5">
        <v>5.24887323374493</v>
      </c>
      <c r="K168" s="5">
        <v>-0.739640081281676</v>
      </c>
      <c r="L168" s="5">
        <v>-0.739640081281676</v>
      </c>
      <c r="M168" s="5">
        <v>-0.739640081281676</v>
      </c>
      <c r="N168" s="5">
        <v>5.98851331502661</v>
      </c>
      <c r="O168" s="5">
        <v>5.98851331502661</v>
      </c>
      <c r="P168" s="5">
        <v>5.98851331502661</v>
      </c>
      <c r="Q168" s="5">
        <v>0.0</v>
      </c>
      <c r="R168" s="5">
        <v>0.0</v>
      </c>
      <c r="S168" s="5">
        <v>0.0</v>
      </c>
      <c r="T168" s="5">
        <v>27.0624886953214</v>
      </c>
    </row>
    <row r="169">
      <c r="A169" s="5">
        <v>167.0</v>
      </c>
      <c r="B169" s="6">
        <v>43822.0</v>
      </c>
      <c r="C169" s="5">
        <v>22.5595796213998</v>
      </c>
      <c r="D169" s="5">
        <v>-8.97102764664167</v>
      </c>
      <c r="E169" s="5">
        <v>69.254630132283</v>
      </c>
      <c r="F169" s="5">
        <v>22.5595796213998</v>
      </c>
      <c r="G169" s="5">
        <v>22.5595796213998</v>
      </c>
      <c r="H169" s="5">
        <v>6.97659869418509</v>
      </c>
      <c r="I169" s="5">
        <v>6.97659869418509</v>
      </c>
      <c r="J169" s="5">
        <v>6.97659869418509</v>
      </c>
      <c r="K169" s="5">
        <v>1.16457933345061</v>
      </c>
      <c r="L169" s="5">
        <v>1.16457933345061</v>
      </c>
      <c r="M169" s="5">
        <v>1.16457933345061</v>
      </c>
      <c r="N169" s="5">
        <v>5.81201936073447</v>
      </c>
      <c r="O169" s="5">
        <v>5.81201936073447</v>
      </c>
      <c r="P169" s="5">
        <v>5.81201936073447</v>
      </c>
      <c r="Q169" s="5">
        <v>0.0</v>
      </c>
      <c r="R169" s="5">
        <v>0.0</v>
      </c>
      <c r="S169" s="5">
        <v>0.0</v>
      </c>
      <c r="T169" s="5">
        <v>29.5361783155849</v>
      </c>
    </row>
    <row r="170">
      <c r="A170" s="5">
        <v>168.0</v>
      </c>
      <c r="B170" s="6">
        <v>43823.0</v>
      </c>
      <c r="C170" s="5">
        <v>22.808234341341</v>
      </c>
      <c r="D170" s="5">
        <v>-8.59752445936079</v>
      </c>
      <c r="E170" s="5">
        <v>68.2403886096546</v>
      </c>
      <c r="F170" s="5">
        <v>22.808234341341</v>
      </c>
      <c r="G170" s="5">
        <v>22.808234341341</v>
      </c>
      <c r="H170" s="5">
        <v>6.25629410861567</v>
      </c>
      <c r="I170" s="5">
        <v>6.25629410861567</v>
      </c>
      <c r="J170" s="5">
        <v>6.25629410861567</v>
      </c>
      <c r="K170" s="5">
        <v>0.247324772138968</v>
      </c>
      <c r="L170" s="5">
        <v>0.247324772138968</v>
      </c>
      <c r="M170" s="5">
        <v>0.247324772138968</v>
      </c>
      <c r="N170" s="5">
        <v>6.0089693364767</v>
      </c>
      <c r="O170" s="5">
        <v>6.0089693364767</v>
      </c>
      <c r="P170" s="5">
        <v>6.0089693364767</v>
      </c>
      <c r="Q170" s="5">
        <v>0.0</v>
      </c>
      <c r="R170" s="5">
        <v>0.0</v>
      </c>
      <c r="S170" s="5">
        <v>0.0</v>
      </c>
      <c r="T170" s="5">
        <v>29.0645284499566</v>
      </c>
    </row>
    <row r="171">
      <c r="A171" s="5">
        <v>169.0</v>
      </c>
      <c r="B171" s="6">
        <v>43825.0</v>
      </c>
      <c r="C171" s="5">
        <v>23.3055437812233</v>
      </c>
      <c r="D171" s="5">
        <v>-11.3582946271217</v>
      </c>
      <c r="E171" s="5">
        <v>69.799991710818</v>
      </c>
      <c r="F171" s="5">
        <v>23.3055437812233</v>
      </c>
      <c r="G171" s="5">
        <v>23.3055437812233</v>
      </c>
      <c r="H171" s="5">
        <v>6.52766445948579</v>
      </c>
      <c r="I171" s="5">
        <v>6.52766445948579</v>
      </c>
      <c r="J171" s="5">
        <v>6.52766445948579</v>
      </c>
      <c r="K171" s="5">
        <v>-0.22541790534664</v>
      </c>
      <c r="L171" s="5">
        <v>-0.22541790534664</v>
      </c>
      <c r="M171" s="5">
        <v>-0.22541790534664</v>
      </c>
      <c r="N171" s="5">
        <v>6.75308236483243</v>
      </c>
      <c r="O171" s="5">
        <v>6.75308236483243</v>
      </c>
      <c r="P171" s="5">
        <v>6.75308236483243</v>
      </c>
      <c r="Q171" s="5">
        <v>0.0</v>
      </c>
      <c r="R171" s="5">
        <v>0.0</v>
      </c>
      <c r="S171" s="5">
        <v>0.0</v>
      </c>
      <c r="T171" s="5">
        <v>29.833208240709</v>
      </c>
    </row>
    <row r="172">
      <c r="A172" s="5">
        <v>170.0</v>
      </c>
      <c r="B172" s="6">
        <v>43826.0</v>
      </c>
      <c r="C172" s="5">
        <v>23.5541985011644</v>
      </c>
      <c r="D172" s="5">
        <v>-10.6730529596798</v>
      </c>
      <c r="E172" s="5">
        <v>68.3119709930067</v>
      </c>
      <c r="F172" s="5">
        <v>23.5541985011644</v>
      </c>
      <c r="G172" s="5">
        <v>23.5541985011644</v>
      </c>
      <c r="H172" s="5">
        <v>6.53777451680729</v>
      </c>
      <c r="I172" s="5">
        <v>6.53777451680729</v>
      </c>
      <c r="J172" s="5">
        <v>6.53777451680729</v>
      </c>
      <c r="K172" s="5">
        <v>-0.739640081279399</v>
      </c>
      <c r="L172" s="5">
        <v>-0.739640081279399</v>
      </c>
      <c r="M172" s="5">
        <v>-0.739640081279399</v>
      </c>
      <c r="N172" s="5">
        <v>7.27741459808669</v>
      </c>
      <c r="O172" s="5">
        <v>7.27741459808669</v>
      </c>
      <c r="P172" s="5">
        <v>7.27741459808669</v>
      </c>
      <c r="Q172" s="5">
        <v>0.0</v>
      </c>
      <c r="R172" s="5">
        <v>0.0</v>
      </c>
      <c r="S172" s="5">
        <v>0.0</v>
      </c>
      <c r="T172" s="5">
        <v>30.0919730179717</v>
      </c>
    </row>
    <row r="173">
      <c r="A173" s="5">
        <v>171.0</v>
      </c>
      <c r="B173" s="6">
        <v>43829.0</v>
      </c>
      <c r="C173" s="5">
        <v>24.3001626609878</v>
      </c>
      <c r="D173" s="5">
        <v>-4.98402724493942</v>
      </c>
      <c r="E173" s="5">
        <v>76.8517382431793</v>
      </c>
      <c r="F173" s="5">
        <v>24.3001626609878</v>
      </c>
      <c r="G173" s="5">
        <v>24.3001626609878</v>
      </c>
      <c r="H173" s="5">
        <v>10.4288696232127</v>
      </c>
      <c r="I173" s="5">
        <v>10.4288696232127</v>
      </c>
      <c r="J173" s="5">
        <v>10.4288696232127</v>
      </c>
      <c r="K173" s="5">
        <v>1.16457933344998</v>
      </c>
      <c r="L173" s="5">
        <v>1.16457933344998</v>
      </c>
      <c r="M173" s="5">
        <v>1.16457933344998</v>
      </c>
      <c r="N173" s="5">
        <v>9.26429028976272</v>
      </c>
      <c r="O173" s="5">
        <v>9.26429028976272</v>
      </c>
      <c r="P173" s="5">
        <v>9.26429028976272</v>
      </c>
      <c r="Q173" s="5">
        <v>0.0</v>
      </c>
      <c r="R173" s="5">
        <v>0.0</v>
      </c>
      <c r="S173" s="5">
        <v>0.0</v>
      </c>
      <c r="T173" s="5">
        <v>34.7290322842005</v>
      </c>
    </row>
    <row r="174">
      <c r="A174" s="5">
        <v>172.0</v>
      </c>
      <c r="B174" s="6">
        <v>43830.0</v>
      </c>
      <c r="C174" s="5">
        <v>24.5488173809289</v>
      </c>
      <c r="D174" s="5">
        <v>-6.38307940511774</v>
      </c>
      <c r="E174" s="5">
        <v>73.9494634613087</v>
      </c>
      <c r="F174" s="5">
        <v>24.5488173809289</v>
      </c>
      <c r="G174" s="5">
        <v>24.5488173809289</v>
      </c>
      <c r="H174" s="5">
        <v>10.2454929496863</v>
      </c>
      <c r="I174" s="5">
        <v>10.2454929496863</v>
      </c>
      <c r="J174" s="5">
        <v>10.2454929496863</v>
      </c>
      <c r="K174" s="5">
        <v>0.247324772137634</v>
      </c>
      <c r="L174" s="5">
        <v>0.247324772137634</v>
      </c>
      <c r="M174" s="5">
        <v>0.247324772137634</v>
      </c>
      <c r="N174" s="5">
        <v>9.99816817754874</v>
      </c>
      <c r="O174" s="5">
        <v>9.99816817754874</v>
      </c>
      <c r="P174" s="5">
        <v>9.99816817754874</v>
      </c>
      <c r="Q174" s="5">
        <v>0.0</v>
      </c>
      <c r="R174" s="5">
        <v>0.0</v>
      </c>
      <c r="S174" s="5">
        <v>0.0</v>
      </c>
      <c r="T174" s="5">
        <v>34.7943103306153</v>
      </c>
    </row>
    <row r="175">
      <c r="A175" s="5">
        <v>173.0</v>
      </c>
      <c r="B175" s="6">
        <v>43832.0</v>
      </c>
      <c r="C175" s="5">
        <v>25.0461268208112</v>
      </c>
      <c r="D175" s="5">
        <v>-5.98196094265814</v>
      </c>
      <c r="E175" s="5">
        <v>76.8670243971392</v>
      </c>
      <c r="F175" s="5">
        <v>25.0461268208112</v>
      </c>
      <c r="G175" s="5">
        <v>25.0461268208112</v>
      </c>
      <c r="H175" s="5">
        <v>11.216651996493</v>
      </c>
      <c r="I175" s="5">
        <v>11.216651996493</v>
      </c>
      <c r="J175" s="5">
        <v>11.216651996493</v>
      </c>
      <c r="K175" s="5">
        <v>-0.225417905349604</v>
      </c>
      <c r="L175" s="5">
        <v>-0.225417905349604</v>
      </c>
      <c r="M175" s="5">
        <v>-0.225417905349604</v>
      </c>
      <c r="N175" s="5">
        <v>11.4420699018426</v>
      </c>
      <c r="O175" s="5">
        <v>11.4420699018426</v>
      </c>
      <c r="P175" s="5">
        <v>11.4420699018426</v>
      </c>
      <c r="Q175" s="5">
        <v>0.0</v>
      </c>
      <c r="R175" s="5">
        <v>0.0</v>
      </c>
      <c r="S175" s="5">
        <v>0.0</v>
      </c>
      <c r="T175" s="5">
        <v>36.2627788173043</v>
      </c>
    </row>
    <row r="176">
      <c r="A176" s="5">
        <v>174.0</v>
      </c>
      <c r="B176" s="6">
        <v>43833.0</v>
      </c>
      <c r="C176" s="5">
        <v>25.2947815407524</v>
      </c>
      <c r="D176" s="5">
        <v>-3.99003440629123</v>
      </c>
      <c r="E176" s="5">
        <v>76.9817203622176</v>
      </c>
      <c r="F176" s="5">
        <v>25.2947815407524</v>
      </c>
      <c r="G176" s="5">
        <v>25.2947815407524</v>
      </c>
      <c r="H176" s="5">
        <v>11.3681428010968</v>
      </c>
      <c r="I176" s="5">
        <v>11.3681428010968</v>
      </c>
      <c r="J176" s="5">
        <v>11.3681428010968</v>
      </c>
      <c r="K176" s="5">
        <v>-0.739640081280554</v>
      </c>
      <c r="L176" s="5">
        <v>-0.739640081280554</v>
      </c>
      <c r="M176" s="5">
        <v>-0.739640081280554</v>
      </c>
      <c r="N176" s="5">
        <v>12.1077828823773</v>
      </c>
      <c r="O176" s="5">
        <v>12.1077828823773</v>
      </c>
      <c r="P176" s="5">
        <v>12.1077828823773</v>
      </c>
      <c r="Q176" s="5">
        <v>0.0</v>
      </c>
      <c r="R176" s="5">
        <v>0.0</v>
      </c>
      <c r="S176" s="5">
        <v>0.0</v>
      </c>
      <c r="T176" s="5">
        <v>36.6629243418492</v>
      </c>
    </row>
    <row r="177">
      <c r="A177" s="5">
        <v>175.0</v>
      </c>
      <c r="B177" s="6">
        <v>43836.0</v>
      </c>
      <c r="C177" s="5">
        <v>26.0407457005758</v>
      </c>
      <c r="D177" s="5">
        <v>0.734435593540615</v>
      </c>
      <c r="E177" s="5">
        <v>79.5061925210943</v>
      </c>
      <c r="F177" s="5">
        <v>26.0407457005758</v>
      </c>
      <c r="G177" s="5">
        <v>26.0407457005758</v>
      </c>
      <c r="H177" s="5">
        <v>14.8010559152753</v>
      </c>
      <c r="I177" s="5">
        <v>14.8010559152753</v>
      </c>
      <c r="J177" s="5">
        <v>14.8010559152753</v>
      </c>
      <c r="K177" s="5">
        <v>1.16457933345042</v>
      </c>
      <c r="L177" s="5">
        <v>1.16457933345042</v>
      </c>
      <c r="M177" s="5">
        <v>1.16457933345042</v>
      </c>
      <c r="N177" s="5">
        <v>13.6364765818248</v>
      </c>
      <c r="O177" s="5">
        <v>13.6364765818248</v>
      </c>
      <c r="P177" s="5">
        <v>13.6364765818248</v>
      </c>
      <c r="Q177" s="5">
        <v>0.0</v>
      </c>
      <c r="R177" s="5">
        <v>0.0</v>
      </c>
      <c r="S177" s="5">
        <v>0.0</v>
      </c>
      <c r="T177" s="5">
        <v>40.8418016158511</v>
      </c>
    </row>
    <row r="178">
      <c r="A178" s="5">
        <v>176.0</v>
      </c>
      <c r="B178" s="6">
        <v>43837.0</v>
      </c>
      <c r="C178" s="5">
        <v>26.2894004205169</v>
      </c>
      <c r="D178" s="5">
        <v>1.48033435815617</v>
      </c>
      <c r="E178" s="5">
        <v>82.8361530074126</v>
      </c>
      <c r="F178" s="5">
        <v>26.2894004205169</v>
      </c>
      <c r="G178" s="5">
        <v>26.2894004205169</v>
      </c>
      <c r="H178" s="5">
        <v>14.1811541130418</v>
      </c>
      <c r="I178" s="5">
        <v>14.1811541130418</v>
      </c>
      <c r="J178" s="5">
        <v>14.1811541130418</v>
      </c>
      <c r="K178" s="5">
        <v>0.247324772140442</v>
      </c>
      <c r="L178" s="5">
        <v>0.247324772140442</v>
      </c>
      <c r="M178" s="5">
        <v>0.247324772140442</v>
      </c>
      <c r="N178" s="5">
        <v>13.9338293409013</v>
      </c>
      <c r="O178" s="5">
        <v>13.9338293409013</v>
      </c>
      <c r="P178" s="5">
        <v>13.9338293409013</v>
      </c>
      <c r="Q178" s="5">
        <v>0.0</v>
      </c>
      <c r="R178" s="5">
        <v>0.0</v>
      </c>
      <c r="S178" s="5">
        <v>0.0</v>
      </c>
      <c r="T178" s="5">
        <v>40.4705545335587</v>
      </c>
    </row>
    <row r="179">
      <c r="A179" s="5">
        <v>177.0</v>
      </c>
      <c r="B179" s="6">
        <v>43838.0</v>
      </c>
      <c r="C179" s="5">
        <v>26.5380551404581</v>
      </c>
      <c r="D179" s="5">
        <v>-0.742337539182571</v>
      </c>
      <c r="E179" s="5">
        <v>84.0504424731551</v>
      </c>
      <c r="F179" s="5">
        <v>26.5380551404581</v>
      </c>
      <c r="G179" s="5">
        <v>26.5380551404581</v>
      </c>
      <c r="H179" s="5">
        <v>14.7121351027714</v>
      </c>
      <c r="I179" s="5">
        <v>14.7121351027714</v>
      </c>
      <c r="J179" s="5">
        <v>14.7121351027714</v>
      </c>
      <c r="K179" s="5">
        <v>0.608132553626364</v>
      </c>
      <c r="L179" s="5">
        <v>0.608132553626364</v>
      </c>
      <c r="M179" s="5">
        <v>0.608132553626364</v>
      </c>
      <c r="N179" s="5">
        <v>14.104002549145</v>
      </c>
      <c r="O179" s="5">
        <v>14.104002549145</v>
      </c>
      <c r="P179" s="5">
        <v>14.104002549145</v>
      </c>
      <c r="Q179" s="5">
        <v>0.0</v>
      </c>
      <c r="R179" s="5">
        <v>0.0</v>
      </c>
      <c r="S179" s="5">
        <v>0.0</v>
      </c>
      <c r="T179" s="5">
        <v>41.2501902432295</v>
      </c>
    </row>
    <row r="180">
      <c r="A180" s="5">
        <v>178.0</v>
      </c>
      <c r="B180" s="6">
        <v>43839.0</v>
      </c>
      <c r="C180" s="5">
        <v>26.7867098603992</v>
      </c>
      <c r="D180" s="5">
        <v>1.99902387098269</v>
      </c>
      <c r="E180" s="5">
        <v>80.9142420531847</v>
      </c>
      <c r="F180" s="5">
        <v>26.7867098603992</v>
      </c>
      <c r="G180" s="5">
        <v>26.7867098603992</v>
      </c>
      <c r="H180" s="5">
        <v>13.9139346726202</v>
      </c>
      <c r="I180" s="5">
        <v>13.9139346726202</v>
      </c>
      <c r="J180" s="5">
        <v>13.9139346726202</v>
      </c>
      <c r="K180" s="5">
        <v>-0.225417905349183</v>
      </c>
      <c r="L180" s="5">
        <v>-0.225417905349183</v>
      </c>
      <c r="M180" s="5">
        <v>-0.225417905349183</v>
      </c>
      <c r="N180" s="5">
        <v>14.1393525779693</v>
      </c>
      <c r="O180" s="5">
        <v>14.1393525779693</v>
      </c>
      <c r="P180" s="5">
        <v>14.1393525779693</v>
      </c>
      <c r="Q180" s="5">
        <v>0.0</v>
      </c>
      <c r="R180" s="5">
        <v>0.0</v>
      </c>
      <c r="S180" s="5">
        <v>0.0</v>
      </c>
      <c r="T180" s="5">
        <v>40.7006445330194</v>
      </c>
    </row>
    <row r="181">
      <c r="A181" s="5">
        <v>179.0</v>
      </c>
      <c r="B181" s="6">
        <v>43840.0</v>
      </c>
      <c r="C181" s="5">
        <v>27.0353645803403</v>
      </c>
      <c r="D181" s="5">
        <v>-0.177056509522213</v>
      </c>
      <c r="E181" s="5">
        <v>77.7970106345047</v>
      </c>
      <c r="F181" s="5">
        <v>27.0353645803403</v>
      </c>
      <c r="G181" s="5">
        <v>27.0353645803403</v>
      </c>
      <c r="H181" s="5">
        <v>13.2963151186736</v>
      </c>
      <c r="I181" s="5">
        <v>13.2963151186736</v>
      </c>
      <c r="J181" s="5">
        <v>13.2963151186736</v>
      </c>
      <c r="K181" s="5">
        <v>-0.739640081276216</v>
      </c>
      <c r="L181" s="5">
        <v>-0.739640081276216</v>
      </c>
      <c r="M181" s="5">
        <v>-0.739640081276216</v>
      </c>
      <c r="N181" s="5">
        <v>14.0359551999498</v>
      </c>
      <c r="O181" s="5">
        <v>14.0359551999498</v>
      </c>
      <c r="P181" s="5">
        <v>14.0359551999498</v>
      </c>
      <c r="Q181" s="5">
        <v>0.0</v>
      </c>
      <c r="R181" s="5">
        <v>0.0</v>
      </c>
      <c r="S181" s="5">
        <v>0.0</v>
      </c>
      <c r="T181" s="5">
        <v>40.331679699014</v>
      </c>
    </row>
    <row r="182">
      <c r="A182" s="5">
        <v>180.0</v>
      </c>
      <c r="B182" s="6">
        <v>43843.0</v>
      </c>
      <c r="C182" s="5">
        <v>27.7813287401637</v>
      </c>
      <c r="D182" s="5">
        <v>1.1294132954392</v>
      </c>
      <c r="E182" s="5">
        <v>84.0637957410342</v>
      </c>
      <c r="F182" s="5">
        <v>27.7813287401637</v>
      </c>
      <c r="G182" s="5">
        <v>27.7813287401637</v>
      </c>
      <c r="H182" s="5">
        <v>14.0766421127809</v>
      </c>
      <c r="I182" s="5">
        <v>14.0766421127809</v>
      </c>
      <c r="J182" s="5">
        <v>14.0766421127809</v>
      </c>
      <c r="K182" s="5">
        <v>1.16457933345066</v>
      </c>
      <c r="L182" s="5">
        <v>1.16457933345066</v>
      </c>
      <c r="M182" s="5">
        <v>1.16457933345066</v>
      </c>
      <c r="N182" s="5">
        <v>12.9120627793302</v>
      </c>
      <c r="O182" s="5">
        <v>12.9120627793302</v>
      </c>
      <c r="P182" s="5">
        <v>12.9120627793302</v>
      </c>
      <c r="Q182" s="5">
        <v>0.0</v>
      </c>
      <c r="R182" s="5">
        <v>0.0</v>
      </c>
      <c r="S182" s="5">
        <v>0.0</v>
      </c>
      <c r="T182" s="5">
        <v>41.8579708529447</v>
      </c>
    </row>
    <row r="183">
      <c r="A183" s="5">
        <v>181.0</v>
      </c>
      <c r="B183" s="6">
        <v>43844.0</v>
      </c>
      <c r="C183" s="5">
        <v>28.0299834601049</v>
      </c>
      <c r="D183" s="5">
        <v>-0.7289055034797</v>
      </c>
      <c r="E183" s="5">
        <v>77.9587700340807</v>
      </c>
      <c r="F183" s="5">
        <v>28.0299834601049</v>
      </c>
      <c r="G183" s="5">
        <v>28.0299834601049</v>
      </c>
      <c r="H183" s="5">
        <v>12.5388634212197</v>
      </c>
      <c r="I183" s="5">
        <v>12.5388634212197</v>
      </c>
      <c r="J183" s="5">
        <v>12.5388634212197</v>
      </c>
      <c r="K183" s="5">
        <v>0.247324772139108</v>
      </c>
      <c r="L183" s="5">
        <v>0.247324772139108</v>
      </c>
      <c r="M183" s="5">
        <v>0.247324772139108</v>
      </c>
      <c r="N183" s="5">
        <v>12.2915386490806</v>
      </c>
      <c r="O183" s="5">
        <v>12.2915386490806</v>
      </c>
      <c r="P183" s="5">
        <v>12.2915386490806</v>
      </c>
      <c r="Q183" s="5">
        <v>0.0</v>
      </c>
      <c r="R183" s="5">
        <v>0.0</v>
      </c>
      <c r="S183" s="5">
        <v>0.0</v>
      </c>
      <c r="T183" s="5">
        <v>40.5688468813247</v>
      </c>
    </row>
    <row r="184">
      <c r="A184" s="5">
        <v>182.0</v>
      </c>
      <c r="B184" s="6">
        <v>43845.0</v>
      </c>
      <c r="C184" s="5">
        <v>28.278638180046</v>
      </c>
      <c r="D184" s="5">
        <v>-2.70581253406409</v>
      </c>
      <c r="E184" s="5">
        <v>79.0282748253109</v>
      </c>
      <c r="F184" s="5">
        <v>28.278638180046</v>
      </c>
      <c r="G184" s="5">
        <v>28.278638180046</v>
      </c>
      <c r="H184" s="5">
        <v>12.1777752754203</v>
      </c>
      <c r="I184" s="5">
        <v>12.1777752754203</v>
      </c>
      <c r="J184" s="5">
        <v>12.1777752754203</v>
      </c>
      <c r="K184" s="5">
        <v>0.608132553627028</v>
      </c>
      <c r="L184" s="5">
        <v>0.608132553627028</v>
      </c>
      <c r="M184" s="5">
        <v>0.608132553627028</v>
      </c>
      <c r="N184" s="5">
        <v>11.5696427217933</v>
      </c>
      <c r="O184" s="5">
        <v>11.5696427217933</v>
      </c>
      <c r="P184" s="5">
        <v>11.5696427217933</v>
      </c>
      <c r="Q184" s="5">
        <v>0.0</v>
      </c>
      <c r="R184" s="5">
        <v>0.0</v>
      </c>
      <c r="S184" s="5">
        <v>0.0</v>
      </c>
      <c r="T184" s="5">
        <v>40.4564134554664</v>
      </c>
    </row>
    <row r="185">
      <c r="A185" s="5">
        <v>183.0</v>
      </c>
      <c r="B185" s="6">
        <v>43846.0</v>
      </c>
      <c r="C185" s="5">
        <v>28.5272928999872</v>
      </c>
      <c r="D185" s="5">
        <v>-0.844317126873921</v>
      </c>
      <c r="E185" s="5">
        <v>80.0442771004941</v>
      </c>
      <c r="F185" s="5">
        <v>28.5272928999872</v>
      </c>
      <c r="G185" s="5">
        <v>28.5272928999872</v>
      </c>
      <c r="H185" s="5">
        <v>10.5385769041264</v>
      </c>
      <c r="I185" s="5">
        <v>10.5385769041264</v>
      </c>
      <c r="J185" s="5">
        <v>10.5385769041264</v>
      </c>
      <c r="K185" s="5">
        <v>-0.225417905348762</v>
      </c>
      <c r="L185" s="5">
        <v>-0.225417905348762</v>
      </c>
      <c r="M185" s="5">
        <v>-0.225417905348762</v>
      </c>
      <c r="N185" s="5">
        <v>10.7639948094752</v>
      </c>
      <c r="O185" s="5">
        <v>10.7639948094752</v>
      </c>
      <c r="P185" s="5">
        <v>10.7639948094752</v>
      </c>
      <c r="Q185" s="5">
        <v>0.0</v>
      </c>
      <c r="R185" s="5">
        <v>0.0</v>
      </c>
      <c r="S185" s="5">
        <v>0.0</v>
      </c>
      <c r="T185" s="5">
        <v>39.0658698041136</v>
      </c>
    </row>
    <row r="186">
      <c r="A186" s="5">
        <v>184.0</v>
      </c>
      <c r="B186" s="6">
        <v>43847.0</v>
      </c>
      <c r="C186" s="5">
        <v>28.7759476199283</v>
      </c>
      <c r="D186" s="5">
        <v>-4.45020701449096</v>
      </c>
      <c r="E186" s="5">
        <v>83.5075374103322</v>
      </c>
      <c r="F186" s="5">
        <v>28.7759476199283</v>
      </c>
      <c r="G186" s="5">
        <v>28.7759476199283</v>
      </c>
      <c r="H186" s="5">
        <v>9.15507274674647</v>
      </c>
      <c r="I186" s="5">
        <v>9.15507274674647</v>
      </c>
      <c r="J186" s="5">
        <v>9.15507274674647</v>
      </c>
      <c r="K186" s="5">
        <v>-0.739640081284237</v>
      </c>
      <c r="L186" s="5">
        <v>-0.739640081284237</v>
      </c>
      <c r="M186" s="5">
        <v>-0.739640081284237</v>
      </c>
      <c r="N186" s="5">
        <v>9.8947128280307</v>
      </c>
      <c r="O186" s="5">
        <v>9.8947128280307</v>
      </c>
      <c r="P186" s="5">
        <v>9.8947128280307</v>
      </c>
      <c r="Q186" s="5">
        <v>0.0</v>
      </c>
      <c r="R186" s="5">
        <v>0.0</v>
      </c>
      <c r="S186" s="5">
        <v>0.0</v>
      </c>
      <c r="T186" s="5">
        <v>37.9310203666748</v>
      </c>
    </row>
    <row r="187">
      <c r="A187" s="5">
        <v>185.0</v>
      </c>
      <c r="B187" s="6">
        <v>43851.0</v>
      </c>
      <c r="C187" s="5">
        <v>29.7705664996929</v>
      </c>
      <c r="D187" s="5">
        <v>-5.48200799444906</v>
      </c>
      <c r="E187" s="5">
        <v>76.0003357709524</v>
      </c>
      <c r="F187" s="5">
        <v>29.7705664996929</v>
      </c>
      <c r="G187" s="5">
        <v>29.7705664996929</v>
      </c>
      <c r="H187" s="5">
        <v>6.48618099218054</v>
      </c>
      <c r="I187" s="5">
        <v>6.48618099218054</v>
      </c>
      <c r="J187" s="5">
        <v>6.48618099218054</v>
      </c>
      <c r="K187" s="5">
        <v>0.247324772137773</v>
      </c>
      <c r="L187" s="5">
        <v>0.247324772137773</v>
      </c>
      <c r="M187" s="5">
        <v>0.247324772137773</v>
      </c>
      <c r="N187" s="5">
        <v>6.23885622004277</v>
      </c>
      <c r="O187" s="5">
        <v>6.23885622004277</v>
      </c>
      <c r="P187" s="5">
        <v>6.23885622004277</v>
      </c>
      <c r="Q187" s="5">
        <v>0.0</v>
      </c>
      <c r="R187" s="5">
        <v>0.0</v>
      </c>
      <c r="S187" s="5">
        <v>0.0</v>
      </c>
      <c r="T187" s="5">
        <v>36.2567474918734</v>
      </c>
    </row>
    <row r="188">
      <c r="A188" s="5">
        <v>186.0</v>
      </c>
      <c r="B188" s="6">
        <v>43852.0</v>
      </c>
      <c r="C188" s="5">
        <v>30.019221219634</v>
      </c>
      <c r="D188" s="5">
        <v>-2.59490642853328</v>
      </c>
      <c r="E188" s="5">
        <v>76.0030432480735</v>
      </c>
      <c r="F188" s="5">
        <v>30.019221219634</v>
      </c>
      <c r="G188" s="5">
        <v>30.019221219634</v>
      </c>
      <c r="H188" s="5">
        <v>6.00754020973099</v>
      </c>
      <c r="I188" s="5">
        <v>6.00754020973099</v>
      </c>
      <c r="J188" s="5">
        <v>6.00754020973099</v>
      </c>
      <c r="K188" s="5">
        <v>0.608132553628807</v>
      </c>
      <c r="L188" s="5">
        <v>0.608132553628807</v>
      </c>
      <c r="M188" s="5">
        <v>0.608132553628807</v>
      </c>
      <c r="N188" s="5">
        <v>5.39940765610218</v>
      </c>
      <c r="O188" s="5">
        <v>5.39940765610218</v>
      </c>
      <c r="P188" s="5">
        <v>5.39940765610218</v>
      </c>
      <c r="Q188" s="5">
        <v>0.0</v>
      </c>
      <c r="R188" s="5">
        <v>0.0</v>
      </c>
      <c r="S188" s="5">
        <v>0.0</v>
      </c>
      <c r="T188" s="5">
        <v>36.026761429365</v>
      </c>
    </row>
    <row r="189">
      <c r="A189" s="5">
        <v>187.0</v>
      </c>
      <c r="B189" s="6">
        <v>43853.0</v>
      </c>
      <c r="C189" s="5">
        <v>30.2678759395751</v>
      </c>
      <c r="D189" s="5">
        <v>-7.79468342561451</v>
      </c>
      <c r="E189" s="5">
        <v>70.7223779819021</v>
      </c>
      <c r="F189" s="5">
        <v>30.2678759395751</v>
      </c>
      <c r="G189" s="5">
        <v>30.2678759395751</v>
      </c>
      <c r="H189" s="5">
        <v>4.41015850649397</v>
      </c>
      <c r="I189" s="5">
        <v>4.41015850649397</v>
      </c>
      <c r="J189" s="5">
        <v>4.41015850649397</v>
      </c>
      <c r="K189" s="5">
        <v>-0.225417905348341</v>
      </c>
      <c r="L189" s="5">
        <v>-0.225417905348341</v>
      </c>
      <c r="M189" s="5">
        <v>-0.225417905348341</v>
      </c>
      <c r="N189" s="5">
        <v>4.63557641184231</v>
      </c>
      <c r="O189" s="5">
        <v>4.63557641184231</v>
      </c>
      <c r="P189" s="5">
        <v>4.63557641184231</v>
      </c>
      <c r="Q189" s="5">
        <v>0.0</v>
      </c>
      <c r="R189" s="5">
        <v>0.0</v>
      </c>
      <c r="S189" s="5">
        <v>0.0</v>
      </c>
      <c r="T189" s="5">
        <v>34.6780344460691</v>
      </c>
    </row>
    <row r="190">
      <c r="A190" s="5">
        <v>188.0</v>
      </c>
      <c r="B190" s="6">
        <v>43854.0</v>
      </c>
      <c r="C190" s="5">
        <v>30.5165306595163</v>
      </c>
      <c r="D190" s="5">
        <v>-5.51436411320631</v>
      </c>
      <c r="E190" s="5">
        <v>71.3975814042514</v>
      </c>
      <c r="F190" s="5">
        <v>30.5165306595163</v>
      </c>
      <c r="G190" s="5">
        <v>30.5165306595163</v>
      </c>
      <c r="H190" s="5">
        <v>3.22782314942303</v>
      </c>
      <c r="I190" s="5">
        <v>3.22782314942303</v>
      </c>
      <c r="J190" s="5">
        <v>3.22782314942303</v>
      </c>
      <c r="K190" s="5">
        <v>-0.73964008128196</v>
      </c>
      <c r="L190" s="5">
        <v>-0.73964008128196</v>
      </c>
      <c r="M190" s="5">
        <v>-0.73964008128196</v>
      </c>
      <c r="N190" s="5">
        <v>3.967463230705</v>
      </c>
      <c r="O190" s="5">
        <v>3.967463230705</v>
      </c>
      <c r="P190" s="5">
        <v>3.967463230705</v>
      </c>
      <c r="Q190" s="5">
        <v>0.0</v>
      </c>
      <c r="R190" s="5">
        <v>0.0</v>
      </c>
      <c r="S190" s="5">
        <v>0.0</v>
      </c>
      <c r="T190" s="5">
        <v>33.7443538089393</v>
      </c>
    </row>
    <row r="191">
      <c r="A191" s="5">
        <v>189.0</v>
      </c>
      <c r="B191" s="6">
        <v>43857.0</v>
      </c>
      <c r="C191" s="5">
        <v>31.2624948193397</v>
      </c>
      <c r="D191" s="5">
        <v>-5.71941137902797</v>
      </c>
      <c r="E191" s="5">
        <v>74.2340259521548</v>
      </c>
      <c r="F191" s="5">
        <v>31.2624948193397</v>
      </c>
      <c r="G191" s="5">
        <v>31.2624948193397</v>
      </c>
      <c r="H191" s="5">
        <v>3.86096199356792</v>
      </c>
      <c r="I191" s="5">
        <v>3.86096199356792</v>
      </c>
      <c r="J191" s="5">
        <v>3.86096199356792</v>
      </c>
      <c r="K191" s="5">
        <v>1.16457933345133</v>
      </c>
      <c r="L191" s="5">
        <v>1.16457933345133</v>
      </c>
      <c r="M191" s="5">
        <v>1.16457933345133</v>
      </c>
      <c r="N191" s="5">
        <v>2.69638266011658</v>
      </c>
      <c r="O191" s="5">
        <v>2.69638266011658</v>
      </c>
      <c r="P191" s="5">
        <v>2.69638266011658</v>
      </c>
      <c r="Q191" s="5">
        <v>0.0</v>
      </c>
      <c r="R191" s="5">
        <v>0.0</v>
      </c>
      <c r="S191" s="5">
        <v>0.0</v>
      </c>
      <c r="T191" s="5">
        <v>35.1234568129076</v>
      </c>
    </row>
    <row r="192">
      <c r="A192" s="5">
        <v>190.0</v>
      </c>
      <c r="B192" s="6">
        <v>43858.0</v>
      </c>
      <c r="C192" s="5">
        <v>31.5111495392808</v>
      </c>
      <c r="D192" s="5">
        <v>-7.06062369652101</v>
      </c>
      <c r="E192" s="5">
        <v>75.335547387543</v>
      </c>
      <c r="F192" s="5">
        <v>31.5111495392808</v>
      </c>
      <c r="G192" s="5">
        <v>31.5111495392808</v>
      </c>
      <c r="H192" s="5">
        <v>2.80004210849756</v>
      </c>
      <c r="I192" s="5">
        <v>2.80004210849756</v>
      </c>
      <c r="J192" s="5">
        <v>2.80004210849756</v>
      </c>
      <c r="K192" s="5">
        <v>0.247324772139284</v>
      </c>
      <c r="L192" s="5">
        <v>0.247324772139284</v>
      </c>
      <c r="M192" s="5">
        <v>0.247324772139284</v>
      </c>
      <c r="N192" s="5">
        <v>2.55271733635828</v>
      </c>
      <c r="O192" s="5">
        <v>2.55271733635828</v>
      </c>
      <c r="P192" s="5">
        <v>2.55271733635828</v>
      </c>
      <c r="Q192" s="5">
        <v>0.0</v>
      </c>
      <c r="R192" s="5">
        <v>0.0</v>
      </c>
      <c r="S192" s="5">
        <v>0.0</v>
      </c>
      <c r="T192" s="5">
        <v>34.3111916477784</v>
      </c>
    </row>
    <row r="193">
      <c r="A193" s="5">
        <v>191.0</v>
      </c>
      <c r="B193" s="6">
        <v>43859.0</v>
      </c>
      <c r="C193" s="5">
        <v>31.759804259222</v>
      </c>
      <c r="D193" s="5">
        <v>-4.85296962174984</v>
      </c>
      <c r="E193" s="5">
        <v>75.9774865866481</v>
      </c>
      <c r="F193" s="5">
        <v>31.759804259222</v>
      </c>
      <c r="G193" s="5">
        <v>31.759804259222</v>
      </c>
      <c r="H193" s="5">
        <v>3.16506074798271</v>
      </c>
      <c r="I193" s="5">
        <v>3.16506074798271</v>
      </c>
      <c r="J193" s="5">
        <v>3.16506074798271</v>
      </c>
      <c r="K193" s="5">
        <v>0.608132553625249</v>
      </c>
      <c r="L193" s="5">
        <v>0.608132553625249</v>
      </c>
      <c r="M193" s="5">
        <v>0.608132553625249</v>
      </c>
      <c r="N193" s="5">
        <v>2.55692819435746</v>
      </c>
      <c r="O193" s="5">
        <v>2.55692819435746</v>
      </c>
      <c r="P193" s="5">
        <v>2.55692819435746</v>
      </c>
      <c r="Q193" s="5">
        <v>0.0</v>
      </c>
      <c r="R193" s="5">
        <v>0.0</v>
      </c>
      <c r="S193" s="5">
        <v>0.0</v>
      </c>
      <c r="T193" s="5">
        <v>34.9248650072047</v>
      </c>
    </row>
    <row r="194">
      <c r="A194" s="5">
        <v>192.0</v>
      </c>
      <c r="B194" s="6">
        <v>43860.0</v>
      </c>
      <c r="C194" s="5">
        <v>32.0084589791631</v>
      </c>
      <c r="D194" s="5">
        <v>-7.98041713819669</v>
      </c>
      <c r="E194" s="5">
        <v>74.2387996800926</v>
      </c>
      <c r="F194" s="5">
        <v>32.0084589791631</v>
      </c>
      <c r="G194" s="5">
        <v>32.0084589791631</v>
      </c>
      <c r="H194" s="5">
        <v>2.48188900106361</v>
      </c>
      <c r="I194" s="5">
        <v>2.48188900106361</v>
      </c>
      <c r="J194" s="5">
        <v>2.48188900106361</v>
      </c>
      <c r="K194" s="5">
        <v>-0.225417905351306</v>
      </c>
      <c r="L194" s="5">
        <v>-0.225417905351306</v>
      </c>
      <c r="M194" s="5">
        <v>-0.225417905351306</v>
      </c>
      <c r="N194" s="5">
        <v>2.70730690641492</v>
      </c>
      <c r="O194" s="5">
        <v>2.70730690641492</v>
      </c>
      <c r="P194" s="5">
        <v>2.70730690641492</v>
      </c>
      <c r="Q194" s="5">
        <v>0.0</v>
      </c>
      <c r="R194" s="5">
        <v>0.0</v>
      </c>
      <c r="S194" s="5">
        <v>0.0</v>
      </c>
      <c r="T194" s="5">
        <v>34.4903479802267</v>
      </c>
    </row>
    <row r="195">
      <c r="A195" s="5">
        <v>193.0</v>
      </c>
      <c r="B195" s="6">
        <v>43861.0</v>
      </c>
      <c r="C195" s="5">
        <v>32.2571136991042</v>
      </c>
      <c r="D195" s="5">
        <v>-4.93806788712375</v>
      </c>
      <c r="E195" s="5">
        <v>77.8794318548512</v>
      </c>
      <c r="F195" s="5">
        <v>32.2571136991042</v>
      </c>
      <c r="G195" s="5">
        <v>32.2571136991042</v>
      </c>
      <c r="H195" s="5">
        <v>2.25812692588584</v>
      </c>
      <c r="I195" s="5">
        <v>2.25812692588584</v>
      </c>
      <c r="J195" s="5">
        <v>2.25812692588584</v>
      </c>
      <c r="K195" s="5">
        <v>-0.739640081281054</v>
      </c>
      <c r="L195" s="5">
        <v>-0.739640081281054</v>
      </c>
      <c r="M195" s="5">
        <v>-0.739640081281054</v>
      </c>
      <c r="N195" s="5">
        <v>2.99776700716689</v>
      </c>
      <c r="O195" s="5">
        <v>2.99776700716689</v>
      </c>
      <c r="P195" s="5">
        <v>2.99776700716689</v>
      </c>
      <c r="Q195" s="5">
        <v>0.0</v>
      </c>
      <c r="R195" s="5">
        <v>0.0</v>
      </c>
      <c r="S195" s="5">
        <v>0.0</v>
      </c>
      <c r="T195" s="5">
        <v>34.5152406249901</v>
      </c>
    </row>
    <row r="196">
      <c r="A196" s="5">
        <v>194.0</v>
      </c>
      <c r="B196" s="6">
        <v>43864.0</v>
      </c>
      <c r="C196" s="5">
        <v>33.0030778589277</v>
      </c>
      <c r="D196" s="5">
        <v>-0.20527520420261</v>
      </c>
      <c r="E196" s="5">
        <v>78.9777935273542</v>
      </c>
      <c r="F196" s="5">
        <v>33.0030778589277</v>
      </c>
      <c r="G196" s="5">
        <v>33.0030778589277</v>
      </c>
      <c r="H196" s="5">
        <v>5.7503904643301</v>
      </c>
      <c r="I196" s="5">
        <v>5.7503904643301</v>
      </c>
      <c r="J196" s="5">
        <v>5.7503904643301</v>
      </c>
      <c r="K196" s="5">
        <v>1.16457933344994</v>
      </c>
      <c r="L196" s="5">
        <v>1.16457933344994</v>
      </c>
      <c r="M196" s="5">
        <v>1.16457933344994</v>
      </c>
      <c r="N196" s="5">
        <v>4.58581113088015</v>
      </c>
      <c r="O196" s="5">
        <v>4.58581113088015</v>
      </c>
      <c r="P196" s="5">
        <v>4.58581113088015</v>
      </c>
      <c r="Q196" s="5">
        <v>0.0</v>
      </c>
      <c r="R196" s="5">
        <v>0.0</v>
      </c>
      <c r="S196" s="5">
        <v>0.0</v>
      </c>
      <c r="T196" s="5">
        <v>38.7534683232578</v>
      </c>
    </row>
    <row r="197">
      <c r="A197" s="5">
        <v>195.0</v>
      </c>
      <c r="B197" s="6">
        <v>43865.0</v>
      </c>
      <c r="C197" s="5">
        <v>33.2517325788688</v>
      </c>
      <c r="D197" s="5">
        <v>-2.6899881862081</v>
      </c>
      <c r="E197" s="5">
        <v>80.2407254207003</v>
      </c>
      <c r="F197" s="5">
        <v>33.2517325788688</v>
      </c>
      <c r="G197" s="5">
        <v>33.2517325788688</v>
      </c>
      <c r="H197" s="5">
        <v>5.54108412917818</v>
      </c>
      <c r="I197" s="5">
        <v>5.54108412917818</v>
      </c>
      <c r="J197" s="5">
        <v>5.54108412917818</v>
      </c>
      <c r="K197" s="5">
        <v>0.24732477213795</v>
      </c>
      <c r="L197" s="5">
        <v>0.24732477213795</v>
      </c>
      <c r="M197" s="5">
        <v>0.24732477213795</v>
      </c>
      <c r="N197" s="5">
        <v>5.29375935704023</v>
      </c>
      <c r="O197" s="5">
        <v>5.29375935704023</v>
      </c>
      <c r="P197" s="5">
        <v>5.29375935704023</v>
      </c>
      <c r="Q197" s="5">
        <v>0.0</v>
      </c>
      <c r="R197" s="5">
        <v>0.0</v>
      </c>
      <c r="S197" s="5">
        <v>0.0</v>
      </c>
      <c r="T197" s="5">
        <v>38.792816708047</v>
      </c>
    </row>
    <row r="198">
      <c r="A198" s="5">
        <v>196.0</v>
      </c>
      <c r="B198" s="6">
        <v>43866.0</v>
      </c>
      <c r="C198" s="5">
        <v>33.50038729881</v>
      </c>
      <c r="D198" s="5">
        <v>0.118439984344284</v>
      </c>
      <c r="E198" s="5">
        <v>80.3414483895543</v>
      </c>
      <c r="F198" s="5">
        <v>33.50038729881</v>
      </c>
      <c r="G198" s="5">
        <v>33.50038729881</v>
      </c>
      <c r="H198" s="5">
        <v>6.66097055173522</v>
      </c>
      <c r="I198" s="5">
        <v>6.66097055173522</v>
      </c>
      <c r="J198" s="5">
        <v>6.66097055173522</v>
      </c>
      <c r="K198" s="5">
        <v>0.608132553627028</v>
      </c>
      <c r="L198" s="5">
        <v>0.608132553627028</v>
      </c>
      <c r="M198" s="5">
        <v>0.608132553627028</v>
      </c>
      <c r="N198" s="5">
        <v>6.05283799810819</v>
      </c>
      <c r="O198" s="5">
        <v>6.05283799810819</v>
      </c>
      <c r="P198" s="5">
        <v>6.05283799810819</v>
      </c>
      <c r="Q198" s="5">
        <v>0.0</v>
      </c>
      <c r="R198" s="5">
        <v>0.0</v>
      </c>
      <c r="S198" s="5">
        <v>0.0</v>
      </c>
      <c r="T198" s="5">
        <v>40.1613578505452</v>
      </c>
    </row>
    <row r="199">
      <c r="A199" s="5">
        <v>197.0</v>
      </c>
      <c r="B199" s="6">
        <v>43867.0</v>
      </c>
      <c r="C199" s="5">
        <v>33.7490420187511</v>
      </c>
      <c r="D199" s="5">
        <v>3.12847066756391</v>
      </c>
      <c r="E199" s="5">
        <v>84.1017710411217</v>
      </c>
      <c r="F199" s="5">
        <v>33.7490420187511</v>
      </c>
      <c r="G199" s="5">
        <v>33.7490420187511</v>
      </c>
      <c r="H199" s="5">
        <v>6.61105887060608</v>
      </c>
      <c r="I199" s="5">
        <v>6.61105887060608</v>
      </c>
      <c r="J199" s="5">
        <v>6.61105887060608</v>
      </c>
      <c r="K199" s="5">
        <v>-0.225417905348959</v>
      </c>
      <c r="L199" s="5">
        <v>-0.225417905348959</v>
      </c>
      <c r="M199" s="5">
        <v>-0.225417905348959</v>
      </c>
      <c r="N199" s="5">
        <v>6.83647677595504</v>
      </c>
      <c r="O199" s="5">
        <v>6.83647677595504</v>
      </c>
      <c r="P199" s="5">
        <v>6.83647677595504</v>
      </c>
      <c r="Q199" s="5">
        <v>0.0</v>
      </c>
      <c r="R199" s="5">
        <v>0.0</v>
      </c>
      <c r="S199" s="5">
        <v>0.0</v>
      </c>
      <c r="T199" s="5">
        <v>40.3601008893572</v>
      </c>
    </row>
    <row r="200">
      <c r="A200" s="5">
        <v>198.0</v>
      </c>
      <c r="B200" s="6">
        <v>43868.0</v>
      </c>
      <c r="C200" s="5">
        <v>33.9976967386922</v>
      </c>
      <c r="D200" s="5">
        <v>-1.77255670201547</v>
      </c>
      <c r="E200" s="5">
        <v>84.316113382646</v>
      </c>
      <c r="F200" s="5">
        <v>33.9976967386922</v>
      </c>
      <c r="G200" s="5">
        <v>33.9976967386922</v>
      </c>
      <c r="H200" s="5">
        <v>6.87692393344575</v>
      </c>
      <c r="I200" s="5">
        <v>6.87692393344575</v>
      </c>
      <c r="J200" s="5">
        <v>6.87692393344575</v>
      </c>
      <c r="K200" s="5">
        <v>-0.739640081278778</v>
      </c>
      <c r="L200" s="5">
        <v>-0.739640081278778</v>
      </c>
      <c r="M200" s="5">
        <v>-0.739640081278778</v>
      </c>
      <c r="N200" s="5">
        <v>7.61656401472453</v>
      </c>
      <c r="O200" s="5">
        <v>7.61656401472453</v>
      </c>
      <c r="P200" s="5">
        <v>7.61656401472453</v>
      </c>
      <c r="Q200" s="5">
        <v>0.0</v>
      </c>
      <c r="R200" s="5">
        <v>0.0</v>
      </c>
      <c r="S200" s="5">
        <v>0.0</v>
      </c>
      <c r="T200" s="5">
        <v>40.874620672138</v>
      </c>
    </row>
    <row r="201">
      <c r="A201" s="5">
        <v>199.0</v>
      </c>
      <c r="B201" s="6">
        <v>43871.0</v>
      </c>
      <c r="C201" s="5">
        <v>34.7436608985156</v>
      </c>
      <c r="D201" s="5">
        <v>4.30993285832838</v>
      </c>
      <c r="E201" s="5">
        <v>88.1836272269736</v>
      </c>
      <c r="F201" s="5">
        <v>34.7436608985156</v>
      </c>
      <c r="G201" s="5">
        <v>34.7436608985156</v>
      </c>
      <c r="H201" s="5">
        <v>10.8111184952257</v>
      </c>
      <c r="I201" s="5">
        <v>10.8111184952257</v>
      </c>
      <c r="J201" s="5">
        <v>10.8111184952257</v>
      </c>
      <c r="K201" s="5">
        <v>1.16457933345028</v>
      </c>
      <c r="L201" s="5">
        <v>1.16457933345028</v>
      </c>
      <c r="M201" s="5">
        <v>1.16457933345028</v>
      </c>
      <c r="N201" s="5">
        <v>9.64653916177541</v>
      </c>
      <c r="O201" s="5">
        <v>9.64653916177541</v>
      </c>
      <c r="P201" s="5">
        <v>9.64653916177541</v>
      </c>
      <c r="Q201" s="5">
        <v>0.0</v>
      </c>
      <c r="R201" s="5">
        <v>0.0</v>
      </c>
      <c r="S201" s="5">
        <v>0.0</v>
      </c>
      <c r="T201" s="5">
        <v>45.5547793937413</v>
      </c>
    </row>
    <row r="202">
      <c r="A202" s="5">
        <v>200.0</v>
      </c>
      <c r="B202" s="6">
        <v>43872.0</v>
      </c>
      <c r="C202" s="5">
        <v>34.9923156184568</v>
      </c>
      <c r="D202" s="5">
        <v>6.72488621379016</v>
      </c>
      <c r="E202" s="5">
        <v>84.5099971271533</v>
      </c>
      <c r="F202" s="5">
        <v>34.9923156184568</v>
      </c>
      <c r="G202" s="5">
        <v>34.9923156184568</v>
      </c>
      <c r="H202" s="5">
        <v>10.3734106939099</v>
      </c>
      <c r="I202" s="5">
        <v>10.3734106939099</v>
      </c>
      <c r="J202" s="5">
        <v>10.3734106939099</v>
      </c>
      <c r="K202" s="5">
        <v>0.247324772139335</v>
      </c>
      <c r="L202" s="5">
        <v>0.247324772139335</v>
      </c>
      <c r="M202" s="5">
        <v>0.247324772139335</v>
      </c>
      <c r="N202" s="5">
        <v>10.1260859217705</v>
      </c>
      <c r="O202" s="5">
        <v>10.1260859217705</v>
      </c>
      <c r="P202" s="5">
        <v>10.1260859217705</v>
      </c>
      <c r="Q202" s="5">
        <v>0.0</v>
      </c>
      <c r="R202" s="5">
        <v>0.0</v>
      </c>
      <c r="S202" s="5">
        <v>0.0</v>
      </c>
      <c r="T202" s="5">
        <v>45.3657263123667</v>
      </c>
    </row>
    <row r="203">
      <c r="A203" s="5">
        <v>201.0</v>
      </c>
      <c r="B203" s="6">
        <v>43873.0</v>
      </c>
      <c r="C203" s="5">
        <v>35.2409703383979</v>
      </c>
      <c r="D203" s="5">
        <v>2.93356222309562</v>
      </c>
      <c r="E203" s="5">
        <v>85.4164204696637</v>
      </c>
      <c r="F203" s="5">
        <v>35.2409703383979</v>
      </c>
      <c r="G203" s="5">
        <v>35.2409703383979</v>
      </c>
      <c r="H203" s="5">
        <v>11.0722904630706</v>
      </c>
      <c r="I203" s="5">
        <v>11.0722904630706</v>
      </c>
      <c r="J203" s="5">
        <v>11.0722904630706</v>
      </c>
      <c r="K203" s="5">
        <v>0.608132553628807</v>
      </c>
      <c r="L203" s="5">
        <v>0.608132553628807</v>
      </c>
      <c r="M203" s="5">
        <v>0.608132553628807</v>
      </c>
      <c r="N203" s="5">
        <v>10.4641579094418</v>
      </c>
      <c r="O203" s="5">
        <v>10.4641579094418</v>
      </c>
      <c r="P203" s="5">
        <v>10.4641579094418</v>
      </c>
      <c r="Q203" s="5">
        <v>0.0</v>
      </c>
      <c r="R203" s="5">
        <v>0.0</v>
      </c>
      <c r="S203" s="5">
        <v>0.0</v>
      </c>
      <c r="T203" s="5">
        <v>46.3132608014686</v>
      </c>
    </row>
    <row r="204">
      <c r="A204" s="5">
        <v>202.0</v>
      </c>
      <c r="B204" s="6">
        <v>43874.0</v>
      </c>
      <c r="C204" s="5">
        <v>35.599057652837</v>
      </c>
      <c r="D204" s="5">
        <v>6.01049247039595</v>
      </c>
      <c r="E204" s="5">
        <v>83.6659158182158</v>
      </c>
      <c r="F204" s="5">
        <v>35.599057652837</v>
      </c>
      <c r="G204" s="5">
        <v>35.599057652837</v>
      </c>
      <c r="H204" s="5">
        <v>10.4134105693396</v>
      </c>
      <c r="I204" s="5">
        <v>10.4134105693396</v>
      </c>
      <c r="J204" s="5">
        <v>10.4134105693396</v>
      </c>
      <c r="K204" s="5">
        <v>-0.225417905351924</v>
      </c>
      <c r="L204" s="5">
        <v>-0.225417905351924</v>
      </c>
      <c r="M204" s="5">
        <v>-0.225417905351924</v>
      </c>
      <c r="N204" s="5">
        <v>10.6388284746915</v>
      </c>
      <c r="O204" s="5">
        <v>10.6388284746915</v>
      </c>
      <c r="P204" s="5">
        <v>10.6388284746915</v>
      </c>
      <c r="Q204" s="5">
        <v>0.0</v>
      </c>
      <c r="R204" s="5">
        <v>0.0</v>
      </c>
      <c r="S204" s="5">
        <v>0.0</v>
      </c>
      <c r="T204" s="5">
        <v>46.0124682221766</v>
      </c>
    </row>
    <row r="205">
      <c r="A205" s="5">
        <v>203.0</v>
      </c>
      <c r="B205" s="6">
        <v>43875.0</v>
      </c>
      <c r="C205" s="5">
        <v>35.957144967276</v>
      </c>
      <c r="D205" s="5">
        <v>6.83070348233796</v>
      </c>
      <c r="E205" s="5">
        <v>88.2948926677081</v>
      </c>
      <c r="F205" s="5">
        <v>35.957144967276</v>
      </c>
      <c r="G205" s="5">
        <v>35.957144967276</v>
      </c>
      <c r="H205" s="5">
        <v>9.89195705812462</v>
      </c>
      <c r="I205" s="5">
        <v>9.89195705812462</v>
      </c>
      <c r="J205" s="5">
        <v>9.89195705812462</v>
      </c>
      <c r="K205" s="5">
        <v>-0.739640081279933</v>
      </c>
      <c r="L205" s="5">
        <v>-0.739640081279933</v>
      </c>
      <c r="M205" s="5">
        <v>-0.739640081279933</v>
      </c>
      <c r="N205" s="5">
        <v>10.6315971394045</v>
      </c>
      <c r="O205" s="5">
        <v>10.6315971394045</v>
      </c>
      <c r="P205" s="5">
        <v>10.6315971394045</v>
      </c>
      <c r="Q205" s="5">
        <v>0.0</v>
      </c>
      <c r="R205" s="5">
        <v>0.0</v>
      </c>
      <c r="S205" s="5">
        <v>0.0</v>
      </c>
      <c r="T205" s="5">
        <v>45.8491020254006</v>
      </c>
    </row>
    <row r="206">
      <c r="A206" s="5">
        <v>204.0</v>
      </c>
      <c r="B206" s="6">
        <v>43879.0</v>
      </c>
      <c r="C206" s="5">
        <v>37.3894942250322</v>
      </c>
      <c r="D206" s="5">
        <v>4.66314195214716</v>
      </c>
      <c r="E206" s="5">
        <v>85.0793325463996</v>
      </c>
      <c r="F206" s="5">
        <v>37.3894942250322</v>
      </c>
      <c r="G206" s="5">
        <v>37.3894942250322</v>
      </c>
      <c r="H206" s="5">
        <v>8.80732982211922</v>
      </c>
      <c r="I206" s="5">
        <v>8.80732982211922</v>
      </c>
      <c r="J206" s="5">
        <v>8.80732982211922</v>
      </c>
      <c r="K206" s="5">
        <v>0.247324772138001</v>
      </c>
      <c r="L206" s="5">
        <v>0.247324772138001</v>
      </c>
      <c r="M206" s="5">
        <v>0.247324772138001</v>
      </c>
      <c r="N206" s="5">
        <v>8.56000504998122</v>
      </c>
      <c r="O206" s="5">
        <v>8.56000504998122</v>
      </c>
      <c r="P206" s="5">
        <v>8.56000504998122</v>
      </c>
      <c r="Q206" s="5">
        <v>0.0</v>
      </c>
      <c r="R206" s="5">
        <v>0.0</v>
      </c>
      <c r="S206" s="5">
        <v>0.0</v>
      </c>
      <c r="T206" s="5">
        <v>46.1968240471514</v>
      </c>
    </row>
    <row r="207">
      <c r="A207" s="5">
        <v>205.0</v>
      </c>
      <c r="B207" s="6">
        <v>43880.0</v>
      </c>
      <c r="C207" s="5">
        <v>37.7475815394713</v>
      </c>
      <c r="D207" s="5">
        <v>5.8728288738512</v>
      </c>
      <c r="E207" s="5">
        <v>86.3444243189281</v>
      </c>
      <c r="F207" s="5">
        <v>37.7475815394713</v>
      </c>
      <c r="G207" s="5">
        <v>37.7475815394713</v>
      </c>
      <c r="H207" s="5">
        <v>8.12464564310861</v>
      </c>
      <c r="I207" s="5">
        <v>8.12464564310861</v>
      </c>
      <c r="J207" s="5">
        <v>8.12464564310861</v>
      </c>
      <c r="K207" s="5">
        <v>0.608132553625249</v>
      </c>
      <c r="L207" s="5">
        <v>0.608132553625249</v>
      </c>
      <c r="M207" s="5">
        <v>0.608132553625249</v>
      </c>
      <c r="N207" s="5">
        <v>7.51651308948337</v>
      </c>
      <c r="O207" s="5">
        <v>7.51651308948337</v>
      </c>
      <c r="P207" s="5">
        <v>7.51651308948337</v>
      </c>
      <c r="Q207" s="5">
        <v>0.0</v>
      </c>
      <c r="R207" s="5">
        <v>0.0</v>
      </c>
      <c r="S207" s="5">
        <v>0.0</v>
      </c>
      <c r="T207" s="5">
        <v>45.8722271825799</v>
      </c>
    </row>
    <row r="208">
      <c r="A208" s="5">
        <v>206.0</v>
      </c>
      <c r="B208" s="6">
        <v>43881.0</v>
      </c>
      <c r="C208" s="5">
        <v>38.1056688539103</v>
      </c>
      <c r="D208" s="5">
        <v>5.05206078361631</v>
      </c>
      <c r="E208" s="5">
        <v>85.0152984959461</v>
      </c>
      <c r="F208" s="5">
        <v>38.1056688539103</v>
      </c>
      <c r="G208" s="5">
        <v>38.1056688539103</v>
      </c>
      <c r="H208" s="5">
        <v>6.04856062407633</v>
      </c>
      <c r="I208" s="5">
        <v>6.04856062407633</v>
      </c>
      <c r="J208" s="5">
        <v>6.04856062407633</v>
      </c>
      <c r="K208" s="5">
        <v>-0.225417905344731</v>
      </c>
      <c r="L208" s="5">
        <v>-0.225417905344731</v>
      </c>
      <c r="M208" s="5">
        <v>-0.225417905344731</v>
      </c>
      <c r="N208" s="5">
        <v>6.27397852942106</v>
      </c>
      <c r="O208" s="5">
        <v>6.27397852942106</v>
      </c>
      <c r="P208" s="5">
        <v>6.27397852942106</v>
      </c>
      <c r="Q208" s="5">
        <v>0.0</v>
      </c>
      <c r="R208" s="5">
        <v>0.0</v>
      </c>
      <c r="S208" s="5">
        <v>0.0</v>
      </c>
      <c r="T208" s="5">
        <v>44.1542294779866</v>
      </c>
    </row>
    <row r="209">
      <c r="A209" s="5">
        <v>207.0</v>
      </c>
      <c r="B209" s="6">
        <v>43882.0</v>
      </c>
      <c r="C209" s="5">
        <v>38.4637561683493</v>
      </c>
      <c r="D209" s="5">
        <v>2.96425387695857</v>
      </c>
      <c r="E209" s="5">
        <v>82.3025911624076</v>
      </c>
      <c r="F209" s="5">
        <v>38.4637561683493</v>
      </c>
      <c r="G209" s="5">
        <v>38.4637561683493</v>
      </c>
      <c r="H209" s="5">
        <v>4.10681101511429</v>
      </c>
      <c r="I209" s="5">
        <v>4.10681101511429</v>
      </c>
      <c r="J209" s="5">
        <v>4.10681101511429</v>
      </c>
      <c r="K209" s="5">
        <v>-0.739640081281089</v>
      </c>
      <c r="L209" s="5">
        <v>-0.739640081281089</v>
      </c>
      <c r="M209" s="5">
        <v>-0.739640081281089</v>
      </c>
      <c r="N209" s="5">
        <v>4.84645109639538</v>
      </c>
      <c r="O209" s="5">
        <v>4.84645109639538</v>
      </c>
      <c r="P209" s="5">
        <v>4.84645109639538</v>
      </c>
      <c r="Q209" s="5">
        <v>0.0</v>
      </c>
      <c r="R209" s="5">
        <v>0.0</v>
      </c>
      <c r="S209" s="5">
        <v>0.0</v>
      </c>
      <c r="T209" s="5">
        <v>42.5705671834636</v>
      </c>
    </row>
    <row r="210">
      <c r="A210" s="5">
        <v>208.0</v>
      </c>
      <c r="B210" s="6">
        <v>43885.0</v>
      </c>
      <c r="C210" s="5">
        <v>39.5380181116665</v>
      </c>
      <c r="D210" s="5">
        <v>-0.880237494919436</v>
      </c>
      <c r="E210" s="5">
        <v>78.698277363019</v>
      </c>
      <c r="F210" s="5">
        <v>39.5380181116665</v>
      </c>
      <c r="G210" s="5">
        <v>39.5380181116665</v>
      </c>
      <c r="H210" s="5">
        <v>0.823390169857528</v>
      </c>
      <c r="I210" s="5">
        <v>0.823390169857528</v>
      </c>
      <c r="J210" s="5">
        <v>0.823390169857528</v>
      </c>
      <c r="K210" s="5">
        <v>1.16457933345085</v>
      </c>
      <c r="L210" s="5">
        <v>1.16457933345085</v>
      </c>
      <c r="M210" s="5">
        <v>1.16457933345085</v>
      </c>
      <c r="N210" s="5">
        <v>-0.341189163593325</v>
      </c>
      <c r="O210" s="5">
        <v>-0.341189163593325</v>
      </c>
      <c r="P210" s="5">
        <v>-0.341189163593325</v>
      </c>
      <c r="Q210" s="5">
        <v>0.0</v>
      </c>
      <c r="R210" s="5">
        <v>0.0</v>
      </c>
      <c r="S210" s="5">
        <v>0.0</v>
      </c>
      <c r="T210" s="5">
        <v>40.361408281524</v>
      </c>
    </row>
    <row r="211">
      <c r="A211" s="5">
        <v>209.0</v>
      </c>
      <c r="B211" s="6">
        <v>43886.0</v>
      </c>
      <c r="C211" s="5">
        <v>39.8961054261055</v>
      </c>
      <c r="D211" s="5">
        <v>-6.05043614614424</v>
      </c>
      <c r="E211" s="5">
        <v>75.9417972150952</v>
      </c>
      <c r="F211" s="5">
        <v>39.8961054261055</v>
      </c>
      <c r="G211" s="5">
        <v>39.8961054261055</v>
      </c>
      <c r="H211" s="5">
        <v>-2.03828307772931</v>
      </c>
      <c r="I211" s="5">
        <v>-2.03828307772931</v>
      </c>
      <c r="J211" s="5">
        <v>-2.03828307772931</v>
      </c>
      <c r="K211" s="5">
        <v>0.247324772138089</v>
      </c>
      <c r="L211" s="5">
        <v>0.247324772138089</v>
      </c>
      <c r="M211" s="5">
        <v>0.247324772138089</v>
      </c>
      <c r="N211" s="5">
        <v>-2.2856078498674</v>
      </c>
      <c r="O211" s="5">
        <v>-2.2856078498674</v>
      </c>
      <c r="P211" s="5">
        <v>-2.2856078498674</v>
      </c>
      <c r="Q211" s="5">
        <v>0.0</v>
      </c>
      <c r="R211" s="5">
        <v>0.0</v>
      </c>
      <c r="S211" s="5">
        <v>0.0</v>
      </c>
      <c r="T211" s="5">
        <v>37.8578223483762</v>
      </c>
    </row>
    <row r="212">
      <c r="A212" s="5">
        <v>210.0</v>
      </c>
      <c r="B212" s="6">
        <v>43887.0</v>
      </c>
      <c r="C212" s="5">
        <v>40.2541927405446</v>
      </c>
      <c r="D212" s="5">
        <v>-5.06178140379259</v>
      </c>
      <c r="E212" s="5">
        <v>77.2134562463593</v>
      </c>
      <c r="F212" s="5">
        <v>40.2541927405446</v>
      </c>
      <c r="G212" s="5">
        <v>40.2541927405446</v>
      </c>
      <c r="H212" s="5">
        <v>-3.67923209795316</v>
      </c>
      <c r="I212" s="5">
        <v>-3.67923209795316</v>
      </c>
      <c r="J212" s="5">
        <v>-3.67923209795316</v>
      </c>
      <c r="K212" s="5">
        <v>0.608132553627027</v>
      </c>
      <c r="L212" s="5">
        <v>0.608132553627027</v>
      </c>
      <c r="M212" s="5">
        <v>0.608132553627027</v>
      </c>
      <c r="N212" s="5">
        <v>-4.28736465158019</v>
      </c>
      <c r="O212" s="5">
        <v>-4.28736465158019</v>
      </c>
      <c r="P212" s="5">
        <v>-4.28736465158019</v>
      </c>
      <c r="Q212" s="5">
        <v>0.0</v>
      </c>
      <c r="R212" s="5">
        <v>0.0</v>
      </c>
      <c r="S212" s="5">
        <v>0.0</v>
      </c>
      <c r="T212" s="5">
        <v>36.5749606425914</v>
      </c>
    </row>
    <row r="213">
      <c r="A213" s="5">
        <v>211.0</v>
      </c>
      <c r="B213" s="6">
        <v>43888.0</v>
      </c>
      <c r="C213" s="5">
        <v>40.6122800549836</v>
      </c>
      <c r="D213" s="5">
        <v>-4.19571416310755</v>
      </c>
      <c r="E213" s="5">
        <v>73.4989664285757</v>
      </c>
      <c r="F213" s="5">
        <v>40.6122800549836</v>
      </c>
      <c r="G213" s="5">
        <v>40.6122800549836</v>
      </c>
      <c r="H213" s="5">
        <v>-6.53894342439134</v>
      </c>
      <c r="I213" s="5">
        <v>-6.53894342439134</v>
      </c>
      <c r="J213" s="5">
        <v>-6.53894342439134</v>
      </c>
      <c r="K213" s="5">
        <v>-0.22541790534577</v>
      </c>
      <c r="L213" s="5">
        <v>-0.22541790534577</v>
      </c>
      <c r="M213" s="5">
        <v>-0.22541790534577</v>
      </c>
      <c r="N213" s="5">
        <v>-6.31352551904557</v>
      </c>
      <c r="O213" s="5">
        <v>-6.31352551904557</v>
      </c>
      <c r="P213" s="5">
        <v>-6.31352551904557</v>
      </c>
      <c r="Q213" s="5">
        <v>0.0</v>
      </c>
      <c r="R213" s="5">
        <v>0.0</v>
      </c>
      <c r="S213" s="5">
        <v>0.0</v>
      </c>
      <c r="T213" s="5">
        <v>34.0733366305923</v>
      </c>
    </row>
    <row r="214">
      <c r="A214" s="5">
        <v>212.0</v>
      </c>
      <c r="B214" s="6">
        <v>43889.0</v>
      </c>
      <c r="C214" s="5">
        <v>40.9703673694227</v>
      </c>
      <c r="D214" s="5">
        <v>-9.66519172301007</v>
      </c>
      <c r="E214" s="5">
        <v>70.9049799135077</v>
      </c>
      <c r="F214" s="5">
        <v>40.9703673694227</v>
      </c>
      <c r="G214" s="5">
        <v>40.9703673694227</v>
      </c>
      <c r="H214" s="5">
        <v>-9.06999671230994</v>
      </c>
      <c r="I214" s="5">
        <v>-9.06999671230994</v>
      </c>
      <c r="J214" s="5">
        <v>-9.06999671230994</v>
      </c>
      <c r="K214" s="5">
        <v>-0.739640081282244</v>
      </c>
      <c r="L214" s="5">
        <v>-0.739640081282244</v>
      </c>
      <c r="M214" s="5">
        <v>-0.739640081282244</v>
      </c>
      <c r="N214" s="5">
        <v>-8.3303566310277</v>
      </c>
      <c r="O214" s="5">
        <v>-8.3303566310277</v>
      </c>
      <c r="P214" s="5">
        <v>-8.3303566310277</v>
      </c>
      <c r="Q214" s="5">
        <v>0.0</v>
      </c>
      <c r="R214" s="5">
        <v>0.0</v>
      </c>
      <c r="S214" s="5">
        <v>0.0</v>
      </c>
      <c r="T214" s="5">
        <v>31.9003706571127</v>
      </c>
    </row>
    <row r="215">
      <c r="A215" s="5">
        <v>213.0</v>
      </c>
      <c r="B215" s="6">
        <v>43892.0</v>
      </c>
      <c r="C215" s="5">
        <v>42.0446293127398</v>
      </c>
      <c r="D215" s="5">
        <v>-13.0421044858052</v>
      </c>
      <c r="E215" s="5">
        <v>69.4855793069826</v>
      </c>
      <c r="F215" s="5">
        <v>42.0446293127398</v>
      </c>
      <c r="G215" s="5">
        <v>42.0446293127398</v>
      </c>
      <c r="H215" s="5">
        <v>-12.8273649463704</v>
      </c>
      <c r="I215" s="5">
        <v>-12.8273649463704</v>
      </c>
      <c r="J215" s="5">
        <v>-12.8273649463704</v>
      </c>
      <c r="K215" s="5">
        <v>1.16457933345129</v>
      </c>
      <c r="L215" s="5">
        <v>1.16457933345129</v>
      </c>
      <c r="M215" s="5">
        <v>1.16457933345129</v>
      </c>
      <c r="N215" s="5">
        <v>-13.9919442798216</v>
      </c>
      <c r="O215" s="5">
        <v>-13.9919442798216</v>
      </c>
      <c r="P215" s="5">
        <v>-13.9919442798216</v>
      </c>
      <c r="Q215" s="5">
        <v>0.0</v>
      </c>
      <c r="R215" s="5">
        <v>0.0</v>
      </c>
      <c r="S215" s="5">
        <v>0.0</v>
      </c>
      <c r="T215" s="5">
        <v>29.2172643663694</v>
      </c>
    </row>
    <row r="216">
      <c r="A216" s="5">
        <v>214.0</v>
      </c>
      <c r="B216" s="6">
        <v>43893.0</v>
      </c>
      <c r="C216" s="5">
        <v>42.4027166271789</v>
      </c>
      <c r="D216" s="5">
        <v>-11.4984848023453</v>
      </c>
      <c r="E216" s="5">
        <v>67.7244749965698</v>
      </c>
      <c r="F216" s="5">
        <v>42.4027166271789</v>
      </c>
      <c r="G216" s="5">
        <v>42.4027166271789</v>
      </c>
      <c r="H216" s="5">
        <v>-15.3980268658552</v>
      </c>
      <c r="I216" s="5">
        <v>-15.3980268658552</v>
      </c>
      <c r="J216" s="5">
        <v>-15.3980268658552</v>
      </c>
      <c r="K216" s="5">
        <v>0.247324772138178</v>
      </c>
      <c r="L216" s="5">
        <v>0.247324772138178</v>
      </c>
      <c r="M216" s="5">
        <v>0.247324772138178</v>
      </c>
      <c r="N216" s="5">
        <v>-15.6453516379934</v>
      </c>
      <c r="O216" s="5">
        <v>-15.6453516379934</v>
      </c>
      <c r="P216" s="5">
        <v>-15.6453516379934</v>
      </c>
      <c r="Q216" s="5">
        <v>0.0</v>
      </c>
      <c r="R216" s="5">
        <v>0.0</v>
      </c>
      <c r="S216" s="5">
        <v>0.0</v>
      </c>
      <c r="T216" s="5">
        <v>27.0046897613236</v>
      </c>
    </row>
    <row r="217">
      <c r="A217" s="5">
        <v>215.0</v>
      </c>
      <c r="B217" s="6">
        <v>43894.0</v>
      </c>
      <c r="C217" s="5">
        <v>42.7608039416179</v>
      </c>
      <c r="D217" s="5">
        <v>-13.1644520441986</v>
      </c>
      <c r="E217" s="5">
        <v>69.4270189504055</v>
      </c>
      <c r="F217" s="5">
        <v>42.7608039416179</v>
      </c>
      <c r="G217" s="5">
        <v>42.7608039416179</v>
      </c>
      <c r="H217" s="5">
        <v>-16.5275684187461</v>
      </c>
      <c r="I217" s="5">
        <v>-16.5275684187461</v>
      </c>
      <c r="J217" s="5">
        <v>-16.5275684187461</v>
      </c>
      <c r="K217" s="5">
        <v>0.608132553627692</v>
      </c>
      <c r="L217" s="5">
        <v>0.608132553627692</v>
      </c>
      <c r="M217" s="5">
        <v>0.608132553627692</v>
      </c>
      <c r="N217" s="5">
        <v>-17.1357009723738</v>
      </c>
      <c r="O217" s="5">
        <v>-17.1357009723738</v>
      </c>
      <c r="P217" s="5">
        <v>-17.1357009723738</v>
      </c>
      <c r="Q217" s="5">
        <v>0.0</v>
      </c>
      <c r="R217" s="5">
        <v>0.0</v>
      </c>
      <c r="S217" s="5">
        <v>0.0</v>
      </c>
      <c r="T217" s="5">
        <v>26.2332355228718</v>
      </c>
    </row>
    <row r="218">
      <c r="A218" s="5">
        <v>216.0</v>
      </c>
      <c r="B218" s="6">
        <v>43895.0</v>
      </c>
      <c r="C218" s="5">
        <v>43.118891256057</v>
      </c>
      <c r="D218" s="5">
        <v>-15.0189594022072</v>
      </c>
      <c r="E218" s="5">
        <v>67.7541665649384</v>
      </c>
      <c r="F218" s="5">
        <v>43.118891256057</v>
      </c>
      <c r="G218" s="5">
        <v>43.118891256057</v>
      </c>
      <c r="H218" s="5">
        <v>-18.6655914877398</v>
      </c>
      <c r="I218" s="5">
        <v>-18.6655914877398</v>
      </c>
      <c r="J218" s="5">
        <v>-18.6655914877398</v>
      </c>
      <c r="K218" s="5">
        <v>-0.225417905345349</v>
      </c>
      <c r="L218" s="5">
        <v>-0.225417905345349</v>
      </c>
      <c r="M218" s="5">
        <v>-0.225417905345349</v>
      </c>
      <c r="N218" s="5">
        <v>-18.4401735823945</v>
      </c>
      <c r="O218" s="5">
        <v>-18.4401735823945</v>
      </c>
      <c r="P218" s="5">
        <v>-18.4401735823945</v>
      </c>
      <c r="Q218" s="5">
        <v>0.0</v>
      </c>
      <c r="R218" s="5">
        <v>0.0</v>
      </c>
      <c r="S218" s="5">
        <v>0.0</v>
      </c>
      <c r="T218" s="5">
        <v>24.4532997683171</v>
      </c>
    </row>
    <row r="219">
      <c r="A219" s="5">
        <v>217.0</v>
      </c>
      <c r="B219" s="6">
        <v>43896.0</v>
      </c>
      <c r="C219" s="5">
        <v>43.476978570496</v>
      </c>
      <c r="D219" s="5">
        <v>-15.3049917848393</v>
      </c>
      <c r="E219" s="5">
        <v>61.4215030145321</v>
      </c>
      <c r="F219" s="5">
        <v>43.476978570496</v>
      </c>
      <c r="G219" s="5">
        <v>43.476978570496</v>
      </c>
      <c r="H219" s="5">
        <v>-20.2795809448833</v>
      </c>
      <c r="I219" s="5">
        <v>-20.2795809448833</v>
      </c>
      <c r="J219" s="5">
        <v>-20.2795809448833</v>
      </c>
      <c r="K219" s="5">
        <v>-0.739640081279968</v>
      </c>
      <c r="L219" s="5">
        <v>-0.739640081279968</v>
      </c>
      <c r="M219" s="5">
        <v>-0.739640081279968</v>
      </c>
      <c r="N219" s="5">
        <v>-19.5399408636033</v>
      </c>
      <c r="O219" s="5">
        <v>-19.5399408636033</v>
      </c>
      <c r="P219" s="5">
        <v>-19.5399408636033</v>
      </c>
      <c r="Q219" s="5">
        <v>0.0</v>
      </c>
      <c r="R219" s="5">
        <v>0.0</v>
      </c>
      <c r="S219" s="5">
        <v>0.0</v>
      </c>
      <c r="T219" s="5">
        <v>23.1973976256127</v>
      </c>
    </row>
    <row r="220">
      <c r="A220" s="5">
        <v>218.0</v>
      </c>
      <c r="B220" s="6">
        <v>43899.0</v>
      </c>
      <c r="C220" s="5">
        <v>44.5512405138132</v>
      </c>
      <c r="D220" s="5">
        <v>-16.4172148258561</v>
      </c>
      <c r="E220" s="5">
        <v>65.0299614077023</v>
      </c>
      <c r="F220" s="5">
        <v>44.5512405138132</v>
      </c>
      <c r="G220" s="5">
        <v>44.5512405138132</v>
      </c>
      <c r="H220" s="5">
        <v>-20.3255388225111</v>
      </c>
      <c r="I220" s="5">
        <v>-20.3255388225111</v>
      </c>
      <c r="J220" s="5">
        <v>-20.3255388225111</v>
      </c>
      <c r="K220" s="5">
        <v>1.1645793334498</v>
      </c>
      <c r="L220" s="5">
        <v>1.1645793334498</v>
      </c>
      <c r="M220" s="5">
        <v>1.1645793334498</v>
      </c>
      <c r="N220" s="5">
        <v>-21.4901181559609</v>
      </c>
      <c r="O220" s="5">
        <v>-21.4901181559609</v>
      </c>
      <c r="P220" s="5">
        <v>-21.4901181559609</v>
      </c>
      <c r="Q220" s="5">
        <v>0.0</v>
      </c>
      <c r="R220" s="5">
        <v>0.0</v>
      </c>
      <c r="S220" s="5">
        <v>0.0</v>
      </c>
      <c r="T220" s="5">
        <v>24.225701691302</v>
      </c>
    </row>
    <row r="221">
      <c r="A221" s="5">
        <v>219.0</v>
      </c>
      <c r="B221" s="6">
        <v>43900.0</v>
      </c>
      <c r="C221" s="5">
        <v>44.9093278282522</v>
      </c>
      <c r="D221" s="5">
        <v>-13.7449268084677</v>
      </c>
      <c r="E221" s="5">
        <v>64.4655910244746</v>
      </c>
      <c r="F221" s="5">
        <v>44.9093278282522</v>
      </c>
      <c r="G221" s="5">
        <v>44.9093278282522</v>
      </c>
      <c r="H221" s="5">
        <v>-21.4267648669913</v>
      </c>
      <c r="I221" s="5">
        <v>-21.4267648669913</v>
      </c>
      <c r="J221" s="5">
        <v>-21.4267648669913</v>
      </c>
      <c r="K221" s="5">
        <v>0.247324772138266</v>
      </c>
      <c r="L221" s="5">
        <v>0.247324772138266</v>
      </c>
      <c r="M221" s="5">
        <v>0.247324772138266</v>
      </c>
      <c r="N221" s="5">
        <v>-21.6740896391296</v>
      </c>
      <c r="O221" s="5">
        <v>-21.6740896391296</v>
      </c>
      <c r="P221" s="5">
        <v>-21.6740896391296</v>
      </c>
      <c r="Q221" s="5">
        <v>0.0</v>
      </c>
      <c r="R221" s="5">
        <v>0.0</v>
      </c>
      <c r="S221" s="5">
        <v>0.0</v>
      </c>
      <c r="T221" s="5">
        <v>23.4825629612608</v>
      </c>
    </row>
    <row r="222">
      <c r="A222" s="5">
        <v>220.0</v>
      </c>
      <c r="B222" s="6">
        <v>43901.0</v>
      </c>
      <c r="C222" s="5">
        <v>45.2674151426913</v>
      </c>
      <c r="D222" s="5">
        <v>-17.2994621612631</v>
      </c>
      <c r="E222" s="5">
        <v>63.6765886025188</v>
      </c>
      <c r="F222" s="5">
        <v>45.2674151426913</v>
      </c>
      <c r="G222" s="5">
        <v>45.2674151426913</v>
      </c>
      <c r="H222" s="5">
        <v>-21.0208272990087</v>
      </c>
      <c r="I222" s="5">
        <v>-21.0208272990087</v>
      </c>
      <c r="J222" s="5">
        <v>-21.0208272990087</v>
      </c>
      <c r="K222" s="5">
        <v>0.608132553629471</v>
      </c>
      <c r="L222" s="5">
        <v>0.608132553629471</v>
      </c>
      <c r="M222" s="5">
        <v>0.608132553629471</v>
      </c>
      <c r="N222" s="5">
        <v>-21.6289598526382</v>
      </c>
      <c r="O222" s="5">
        <v>-21.6289598526382</v>
      </c>
      <c r="P222" s="5">
        <v>-21.6289598526382</v>
      </c>
      <c r="Q222" s="5">
        <v>0.0</v>
      </c>
      <c r="R222" s="5">
        <v>0.0</v>
      </c>
      <c r="S222" s="5">
        <v>0.0</v>
      </c>
      <c r="T222" s="5">
        <v>24.2465878436825</v>
      </c>
    </row>
    <row r="223">
      <c r="A223" s="5">
        <v>221.0</v>
      </c>
      <c r="B223" s="6">
        <v>43902.0</v>
      </c>
      <c r="C223" s="5">
        <v>45.6255024571303</v>
      </c>
      <c r="D223" s="5">
        <v>-14.6574345378196</v>
      </c>
      <c r="E223" s="5">
        <v>64.3074560470682</v>
      </c>
      <c r="F223" s="5">
        <v>45.6255024571303</v>
      </c>
      <c r="G223" s="5">
        <v>45.6255024571303</v>
      </c>
      <c r="H223" s="5">
        <v>-21.5895634464141</v>
      </c>
      <c r="I223" s="5">
        <v>-21.5895634464141</v>
      </c>
      <c r="J223" s="5">
        <v>-21.5895634464141</v>
      </c>
      <c r="K223" s="5">
        <v>-0.225417905348314</v>
      </c>
      <c r="L223" s="5">
        <v>-0.225417905348314</v>
      </c>
      <c r="M223" s="5">
        <v>-0.225417905348314</v>
      </c>
      <c r="N223" s="5">
        <v>-21.3641455410658</v>
      </c>
      <c r="O223" s="5">
        <v>-21.3641455410658</v>
      </c>
      <c r="P223" s="5">
        <v>-21.3641455410658</v>
      </c>
      <c r="Q223" s="5">
        <v>0.0</v>
      </c>
      <c r="R223" s="5">
        <v>0.0</v>
      </c>
      <c r="S223" s="5">
        <v>0.0</v>
      </c>
      <c r="T223" s="5">
        <v>24.0359390107161</v>
      </c>
    </row>
    <row r="224">
      <c r="A224" s="5">
        <v>222.0</v>
      </c>
      <c r="B224" s="6">
        <v>43903.0</v>
      </c>
      <c r="C224" s="5">
        <v>45.9835897715693</v>
      </c>
      <c r="D224" s="5">
        <v>-13.8950066727131</v>
      </c>
      <c r="E224" s="5">
        <v>65.0729121536296</v>
      </c>
      <c r="F224" s="5">
        <v>45.9835897715693</v>
      </c>
      <c r="G224" s="5">
        <v>45.9835897715693</v>
      </c>
      <c r="H224" s="5">
        <v>-21.6330402950163</v>
      </c>
      <c r="I224" s="5">
        <v>-21.6330402950163</v>
      </c>
      <c r="J224" s="5">
        <v>-21.6330402950163</v>
      </c>
      <c r="K224" s="5">
        <v>-0.739640081284556</v>
      </c>
      <c r="L224" s="5">
        <v>-0.739640081284556</v>
      </c>
      <c r="M224" s="5">
        <v>-0.739640081284556</v>
      </c>
      <c r="N224" s="5">
        <v>-20.8934002137318</v>
      </c>
      <c r="O224" s="5">
        <v>-20.8934002137318</v>
      </c>
      <c r="P224" s="5">
        <v>-20.8934002137318</v>
      </c>
      <c r="Q224" s="5">
        <v>0.0</v>
      </c>
      <c r="R224" s="5">
        <v>0.0</v>
      </c>
      <c r="S224" s="5">
        <v>0.0</v>
      </c>
      <c r="T224" s="5">
        <v>24.350549476553</v>
      </c>
    </row>
    <row r="225">
      <c r="A225" s="5">
        <v>223.0</v>
      </c>
      <c r="B225" s="6">
        <v>43906.0</v>
      </c>
      <c r="C225" s="5">
        <v>47.0578517148865</v>
      </c>
      <c r="D225" s="5">
        <v>-8.65835339429139</v>
      </c>
      <c r="E225" s="5">
        <v>69.2356826927775</v>
      </c>
      <c r="F225" s="5">
        <v>47.0578517148865</v>
      </c>
      <c r="G225" s="5">
        <v>47.0578517148865</v>
      </c>
      <c r="H225" s="5">
        <v>-17.2746053903473</v>
      </c>
      <c r="I225" s="5">
        <v>-17.2746053903473</v>
      </c>
      <c r="J225" s="5">
        <v>-17.2746053903473</v>
      </c>
      <c r="K225" s="5">
        <v>1.16457933345014</v>
      </c>
      <c r="L225" s="5">
        <v>1.16457933345014</v>
      </c>
      <c r="M225" s="5">
        <v>1.16457933345014</v>
      </c>
      <c r="N225" s="5">
        <v>-18.4391847237975</v>
      </c>
      <c r="O225" s="5">
        <v>-18.4391847237975</v>
      </c>
      <c r="P225" s="5">
        <v>-18.4391847237975</v>
      </c>
      <c r="Q225" s="5">
        <v>0.0</v>
      </c>
      <c r="R225" s="5">
        <v>0.0</v>
      </c>
      <c r="S225" s="5">
        <v>0.0</v>
      </c>
      <c r="T225" s="5">
        <v>29.7832463245391</v>
      </c>
    </row>
    <row r="226">
      <c r="A226" s="5">
        <v>224.0</v>
      </c>
      <c r="B226" s="6">
        <v>43907.0</v>
      </c>
      <c r="C226" s="5">
        <v>47.4159390293255</v>
      </c>
      <c r="D226" s="5">
        <v>-9.88384096943665</v>
      </c>
      <c r="E226" s="5">
        <v>69.1060666583164</v>
      </c>
      <c r="F226" s="5">
        <v>47.4159390293255</v>
      </c>
      <c r="G226" s="5">
        <v>47.4159390293255</v>
      </c>
      <c r="H226" s="5">
        <v>-17.1059330955281</v>
      </c>
      <c r="I226" s="5">
        <v>-17.1059330955281</v>
      </c>
      <c r="J226" s="5">
        <v>-17.1059330955281</v>
      </c>
      <c r="K226" s="5">
        <v>0.247324772136932</v>
      </c>
      <c r="L226" s="5">
        <v>0.247324772136932</v>
      </c>
      <c r="M226" s="5">
        <v>0.247324772136932</v>
      </c>
      <c r="N226" s="5">
        <v>-17.353257867665</v>
      </c>
      <c r="O226" s="5">
        <v>-17.353257867665</v>
      </c>
      <c r="P226" s="5">
        <v>-17.353257867665</v>
      </c>
      <c r="Q226" s="5">
        <v>0.0</v>
      </c>
      <c r="R226" s="5">
        <v>0.0</v>
      </c>
      <c r="S226" s="5">
        <v>0.0</v>
      </c>
      <c r="T226" s="5">
        <v>30.3100059337974</v>
      </c>
    </row>
    <row r="227">
      <c r="A227" s="5">
        <v>225.0</v>
      </c>
      <c r="B227" s="6">
        <v>43908.0</v>
      </c>
      <c r="C227" s="5">
        <v>47.7740263437646</v>
      </c>
      <c r="D227" s="5">
        <v>-8.50879029881361</v>
      </c>
      <c r="E227" s="5">
        <v>72.6380653227533</v>
      </c>
      <c r="F227" s="5">
        <v>47.7740263437646</v>
      </c>
      <c r="G227" s="5">
        <v>47.7740263437646</v>
      </c>
      <c r="H227" s="5">
        <v>-15.5703076394626</v>
      </c>
      <c r="I227" s="5">
        <v>-15.5703076394626</v>
      </c>
      <c r="J227" s="5">
        <v>-15.5703076394626</v>
      </c>
      <c r="K227" s="5">
        <v>0.608132553625913</v>
      </c>
      <c r="L227" s="5">
        <v>0.608132553625913</v>
      </c>
      <c r="M227" s="5">
        <v>0.608132553625913</v>
      </c>
      <c r="N227" s="5">
        <v>-16.1784401930885</v>
      </c>
      <c r="O227" s="5">
        <v>-16.1784401930885</v>
      </c>
      <c r="P227" s="5">
        <v>-16.1784401930885</v>
      </c>
      <c r="Q227" s="5">
        <v>0.0</v>
      </c>
      <c r="R227" s="5">
        <v>0.0</v>
      </c>
      <c r="S227" s="5">
        <v>0.0</v>
      </c>
      <c r="T227" s="5">
        <v>32.203718704302</v>
      </c>
    </row>
    <row r="228">
      <c r="A228" s="5">
        <v>226.0</v>
      </c>
      <c r="B228" s="6">
        <v>43909.0</v>
      </c>
      <c r="C228" s="5">
        <v>48.1321136582036</v>
      </c>
      <c r="D228" s="5">
        <v>-7.23369764991503</v>
      </c>
      <c r="E228" s="5">
        <v>73.4065732421737</v>
      </c>
      <c r="F228" s="5">
        <v>48.1321136582036</v>
      </c>
      <c r="G228" s="5">
        <v>48.1321136582036</v>
      </c>
      <c r="H228" s="5">
        <v>-15.1689391090712</v>
      </c>
      <c r="I228" s="5">
        <v>-15.1689391090712</v>
      </c>
      <c r="J228" s="5">
        <v>-15.1689391090712</v>
      </c>
      <c r="K228" s="5">
        <v>-0.225417905351278</v>
      </c>
      <c r="L228" s="5">
        <v>-0.225417905351278</v>
      </c>
      <c r="M228" s="5">
        <v>-0.225417905351278</v>
      </c>
      <c r="N228" s="5">
        <v>-14.9435212037199</v>
      </c>
      <c r="O228" s="5">
        <v>-14.9435212037199</v>
      </c>
      <c r="P228" s="5">
        <v>-14.9435212037199</v>
      </c>
      <c r="Q228" s="5">
        <v>0.0</v>
      </c>
      <c r="R228" s="5">
        <v>0.0</v>
      </c>
      <c r="S228" s="5">
        <v>0.0</v>
      </c>
      <c r="T228" s="5">
        <v>32.9631745491324</v>
      </c>
    </row>
    <row r="229">
      <c r="A229" s="5">
        <v>227.0</v>
      </c>
      <c r="B229" s="6">
        <v>43910.0</v>
      </c>
      <c r="C229" s="5">
        <v>48.4902009726427</v>
      </c>
      <c r="D229" s="5">
        <v>-3.43996404758806</v>
      </c>
      <c r="E229" s="5">
        <v>76.2211814064727</v>
      </c>
      <c r="F229" s="5">
        <v>48.4902009726427</v>
      </c>
      <c r="G229" s="5">
        <v>48.4902009726427</v>
      </c>
      <c r="H229" s="5">
        <v>-14.4171347096533</v>
      </c>
      <c r="I229" s="5">
        <v>-14.4171347096533</v>
      </c>
      <c r="J229" s="5">
        <v>-14.4171347096533</v>
      </c>
      <c r="K229" s="5">
        <v>-0.739640081280218</v>
      </c>
      <c r="L229" s="5">
        <v>-0.739640081280218</v>
      </c>
      <c r="M229" s="5">
        <v>-0.739640081280218</v>
      </c>
      <c r="N229" s="5">
        <v>-13.6774946283731</v>
      </c>
      <c r="O229" s="5">
        <v>-13.6774946283731</v>
      </c>
      <c r="P229" s="5">
        <v>-13.6774946283731</v>
      </c>
      <c r="Q229" s="5">
        <v>0.0</v>
      </c>
      <c r="R229" s="5">
        <v>0.0</v>
      </c>
      <c r="S229" s="5">
        <v>0.0</v>
      </c>
      <c r="T229" s="5">
        <v>34.0730662629893</v>
      </c>
    </row>
    <row r="230">
      <c r="A230" s="5">
        <v>228.0</v>
      </c>
      <c r="B230" s="6">
        <v>43913.0</v>
      </c>
      <c r="C230" s="5">
        <v>49.5644629159598</v>
      </c>
      <c r="D230" s="5">
        <v>-0.893494206671739</v>
      </c>
      <c r="E230" s="5">
        <v>79.7928763558165</v>
      </c>
      <c r="F230" s="5">
        <v>49.5644629159598</v>
      </c>
      <c r="G230" s="5">
        <v>49.5644629159598</v>
      </c>
      <c r="H230" s="5">
        <v>-8.80697999453882</v>
      </c>
      <c r="I230" s="5">
        <v>-8.80697999453882</v>
      </c>
      <c r="J230" s="5">
        <v>-8.80697999453882</v>
      </c>
      <c r="K230" s="5">
        <v>1.16457933345037</v>
      </c>
      <c r="L230" s="5">
        <v>1.16457933345037</v>
      </c>
      <c r="M230" s="5">
        <v>1.16457933345037</v>
      </c>
      <c r="N230" s="5">
        <v>-9.97155932798919</v>
      </c>
      <c r="O230" s="5">
        <v>-9.97155932798919</v>
      </c>
      <c r="P230" s="5">
        <v>-9.97155932798919</v>
      </c>
      <c r="Q230" s="5">
        <v>0.0</v>
      </c>
      <c r="R230" s="5">
        <v>0.0</v>
      </c>
      <c r="S230" s="5">
        <v>0.0</v>
      </c>
      <c r="T230" s="5">
        <v>40.757482921421</v>
      </c>
    </row>
    <row r="231">
      <c r="A231" s="5">
        <v>229.0</v>
      </c>
      <c r="B231" s="6">
        <v>43914.0</v>
      </c>
      <c r="C231" s="5">
        <v>49.9225502303989</v>
      </c>
      <c r="D231" s="5">
        <v>3.80708383532687</v>
      </c>
      <c r="E231" s="5">
        <v>83.7502037699975</v>
      </c>
      <c r="F231" s="5">
        <v>49.9225502303989</v>
      </c>
      <c r="G231" s="5">
        <v>49.9225502303989</v>
      </c>
      <c r="H231" s="5">
        <v>-8.60447617476847</v>
      </c>
      <c r="I231" s="5">
        <v>-8.60447617476847</v>
      </c>
      <c r="J231" s="5">
        <v>-8.60447617476847</v>
      </c>
      <c r="K231" s="5">
        <v>0.247324772138443</v>
      </c>
      <c r="L231" s="5">
        <v>0.247324772138443</v>
      </c>
      <c r="M231" s="5">
        <v>0.247324772138443</v>
      </c>
      <c r="N231" s="5">
        <v>-8.85180094690692</v>
      </c>
      <c r="O231" s="5">
        <v>-8.85180094690692</v>
      </c>
      <c r="P231" s="5">
        <v>-8.85180094690692</v>
      </c>
      <c r="Q231" s="5">
        <v>0.0</v>
      </c>
      <c r="R231" s="5">
        <v>0.0</v>
      </c>
      <c r="S231" s="5">
        <v>0.0</v>
      </c>
      <c r="T231" s="5">
        <v>41.3180740556304</v>
      </c>
    </row>
    <row r="232">
      <c r="A232" s="5">
        <v>230.0</v>
      </c>
      <c r="B232" s="6">
        <v>43915.0</v>
      </c>
      <c r="C232" s="5">
        <v>50.2806375448379</v>
      </c>
      <c r="D232" s="5">
        <v>7.48142246577695</v>
      </c>
      <c r="E232" s="5">
        <v>84.8529163566569</v>
      </c>
      <c r="F232" s="5">
        <v>50.2806375448379</v>
      </c>
      <c r="G232" s="5">
        <v>50.2806375448379</v>
      </c>
      <c r="H232" s="5">
        <v>-7.21814598452883</v>
      </c>
      <c r="I232" s="5">
        <v>-7.21814598452883</v>
      </c>
      <c r="J232" s="5">
        <v>-7.21814598452883</v>
      </c>
      <c r="K232" s="5">
        <v>0.608132553626577</v>
      </c>
      <c r="L232" s="5">
        <v>0.608132553626577</v>
      </c>
      <c r="M232" s="5">
        <v>0.608132553626577</v>
      </c>
      <c r="N232" s="5">
        <v>-7.82627853815541</v>
      </c>
      <c r="O232" s="5">
        <v>-7.82627853815541</v>
      </c>
      <c r="P232" s="5">
        <v>-7.82627853815541</v>
      </c>
      <c r="Q232" s="5">
        <v>0.0</v>
      </c>
      <c r="R232" s="5">
        <v>0.0</v>
      </c>
      <c r="S232" s="5">
        <v>0.0</v>
      </c>
      <c r="T232" s="5">
        <v>43.0624915603091</v>
      </c>
    </row>
    <row r="233">
      <c r="A233" s="5">
        <v>231.0</v>
      </c>
      <c r="B233" s="6">
        <v>43916.0</v>
      </c>
      <c r="C233" s="5">
        <v>50.638724859277</v>
      </c>
      <c r="D233" s="5">
        <v>2.03332872237811</v>
      </c>
      <c r="E233" s="5">
        <v>84.7024666451171</v>
      </c>
      <c r="F233" s="5">
        <v>50.638724859277</v>
      </c>
      <c r="G233" s="5">
        <v>50.638724859277</v>
      </c>
      <c r="H233" s="5">
        <v>-7.13777252026827</v>
      </c>
      <c r="I233" s="5">
        <v>-7.13777252026827</v>
      </c>
      <c r="J233" s="5">
        <v>-7.13777252026827</v>
      </c>
      <c r="K233" s="5">
        <v>-0.225417905347472</v>
      </c>
      <c r="L233" s="5">
        <v>-0.225417905347472</v>
      </c>
      <c r="M233" s="5">
        <v>-0.225417905347472</v>
      </c>
      <c r="N233" s="5">
        <v>-6.9123546149208</v>
      </c>
      <c r="O233" s="5">
        <v>-6.9123546149208</v>
      </c>
      <c r="P233" s="5">
        <v>-6.9123546149208</v>
      </c>
      <c r="Q233" s="5">
        <v>0.0</v>
      </c>
      <c r="R233" s="5">
        <v>0.0</v>
      </c>
      <c r="S233" s="5">
        <v>0.0</v>
      </c>
      <c r="T233" s="5">
        <v>43.5009523390087</v>
      </c>
    </row>
    <row r="234">
      <c r="A234" s="5">
        <v>232.0</v>
      </c>
      <c r="B234" s="6">
        <v>43917.0</v>
      </c>
      <c r="C234" s="5">
        <v>50.996812173716</v>
      </c>
      <c r="D234" s="5">
        <v>6.32768338200841</v>
      </c>
      <c r="E234" s="5">
        <v>84.5094319915556</v>
      </c>
      <c r="F234" s="5">
        <v>50.996812173716</v>
      </c>
      <c r="G234" s="5">
        <v>50.996812173716</v>
      </c>
      <c r="H234" s="5">
        <v>-6.86356426021606</v>
      </c>
      <c r="I234" s="5">
        <v>-6.86356426021606</v>
      </c>
      <c r="J234" s="5">
        <v>-6.86356426021606</v>
      </c>
      <c r="K234" s="5">
        <v>-0.739640081281373</v>
      </c>
      <c r="L234" s="5">
        <v>-0.739640081281373</v>
      </c>
      <c r="M234" s="5">
        <v>-0.739640081281373</v>
      </c>
      <c r="N234" s="5">
        <v>-6.12392417893468</v>
      </c>
      <c r="O234" s="5">
        <v>-6.12392417893468</v>
      </c>
      <c r="P234" s="5">
        <v>-6.12392417893468</v>
      </c>
      <c r="Q234" s="5">
        <v>0.0</v>
      </c>
      <c r="R234" s="5">
        <v>0.0</v>
      </c>
      <c r="S234" s="5">
        <v>0.0</v>
      </c>
      <c r="T234" s="5">
        <v>44.1332479134999</v>
      </c>
    </row>
    <row r="235">
      <c r="A235" s="5">
        <v>233.0</v>
      </c>
      <c r="B235" s="6">
        <v>43920.0</v>
      </c>
      <c r="C235" s="5">
        <v>52.0710741170331</v>
      </c>
      <c r="D235" s="5">
        <v>10.1232980710014</v>
      </c>
      <c r="E235" s="5">
        <v>89.962655967711</v>
      </c>
      <c r="F235" s="5">
        <v>52.0710741170331</v>
      </c>
      <c r="G235" s="5">
        <v>52.0710741170331</v>
      </c>
      <c r="H235" s="5">
        <v>-3.43053533727763</v>
      </c>
      <c r="I235" s="5">
        <v>-3.43053533727763</v>
      </c>
      <c r="J235" s="5">
        <v>-3.43053533727763</v>
      </c>
      <c r="K235" s="5">
        <v>1.1645793334506</v>
      </c>
      <c r="L235" s="5">
        <v>1.1645793334506</v>
      </c>
      <c r="M235" s="5">
        <v>1.1645793334506</v>
      </c>
      <c r="N235" s="5">
        <v>-4.59511467072824</v>
      </c>
      <c r="O235" s="5">
        <v>-4.59511467072824</v>
      </c>
      <c r="P235" s="5">
        <v>-4.59511467072824</v>
      </c>
      <c r="Q235" s="5">
        <v>0.0</v>
      </c>
      <c r="R235" s="5">
        <v>0.0</v>
      </c>
      <c r="S235" s="5">
        <v>0.0</v>
      </c>
      <c r="T235" s="5">
        <v>48.6405387797555</v>
      </c>
    </row>
    <row r="236">
      <c r="A236" s="5">
        <v>234.0</v>
      </c>
      <c r="B236" s="6">
        <v>43921.0</v>
      </c>
      <c r="C236" s="5">
        <v>52.4291614314722</v>
      </c>
      <c r="D236" s="5">
        <v>8.24278328621361</v>
      </c>
      <c r="E236" s="5">
        <v>87.9955868469002</v>
      </c>
      <c r="F236" s="5">
        <v>52.4291614314722</v>
      </c>
      <c r="G236" s="5">
        <v>52.4291614314722</v>
      </c>
      <c r="H236" s="5">
        <v>-4.12619636986752</v>
      </c>
      <c r="I236" s="5">
        <v>-4.12619636986752</v>
      </c>
      <c r="J236" s="5">
        <v>-4.12619636986752</v>
      </c>
      <c r="K236" s="5">
        <v>0.247324772138405</v>
      </c>
      <c r="L236" s="5">
        <v>0.247324772138405</v>
      </c>
      <c r="M236" s="5">
        <v>0.247324772138405</v>
      </c>
      <c r="N236" s="5">
        <v>-4.37352114200593</v>
      </c>
      <c r="O236" s="5">
        <v>-4.37352114200593</v>
      </c>
      <c r="P236" s="5">
        <v>-4.37352114200593</v>
      </c>
      <c r="Q236" s="5">
        <v>0.0</v>
      </c>
      <c r="R236" s="5">
        <v>0.0</v>
      </c>
      <c r="S236" s="5">
        <v>0.0</v>
      </c>
      <c r="T236" s="5">
        <v>48.3029650616047</v>
      </c>
    </row>
    <row r="237">
      <c r="A237" s="5">
        <v>235.0</v>
      </c>
      <c r="B237" s="6">
        <v>43922.0</v>
      </c>
      <c r="C237" s="5">
        <v>52.7872487459112</v>
      </c>
      <c r="D237" s="5">
        <v>9.21068261929352</v>
      </c>
      <c r="E237" s="5">
        <v>88.5306886946679</v>
      </c>
      <c r="F237" s="5">
        <v>52.7872487459112</v>
      </c>
      <c r="G237" s="5">
        <v>52.7872487459112</v>
      </c>
      <c r="H237" s="5">
        <v>-3.68343797944995</v>
      </c>
      <c r="I237" s="5">
        <v>-3.68343797944995</v>
      </c>
      <c r="J237" s="5">
        <v>-3.68343797944995</v>
      </c>
      <c r="K237" s="5">
        <v>0.608132553625688</v>
      </c>
      <c r="L237" s="5">
        <v>0.608132553625688</v>
      </c>
      <c r="M237" s="5">
        <v>0.608132553625688</v>
      </c>
      <c r="N237" s="5">
        <v>-4.29157053307564</v>
      </c>
      <c r="O237" s="5">
        <v>-4.29157053307564</v>
      </c>
      <c r="P237" s="5">
        <v>-4.29157053307564</v>
      </c>
      <c r="Q237" s="5">
        <v>0.0</v>
      </c>
      <c r="R237" s="5">
        <v>0.0</v>
      </c>
      <c r="S237" s="5">
        <v>0.0</v>
      </c>
      <c r="T237" s="5">
        <v>49.1038107664613</v>
      </c>
    </row>
    <row r="238">
      <c r="A238" s="5">
        <v>236.0</v>
      </c>
      <c r="B238" s="6">
        <v>43923.0</v>
      </c>
      <c r="C238" s="5">
        <v>53.1453360603503</v>
      </c>
      <c r="D238" s="5">
        <v>9.22742573269113</v>
      </c>
      <c r="E238" s="5">
        <v>91.0010869826001</v>
      </c>
      <c r="F238" s="5">
        <v>53.1453360603503</v>
      </c>
      <c r="G238" s="5">
        <v>53.1453360603503</v>
      </c>
      <c r="H238" s="5">
        <v>-4.5671778387068</v>
      </c>
      <c r="I238" s="5">
        <v>-4.5671778387068</v>
      </c>
      <c r="J238" s="5">
        <v>-4.5671778387068</v>
      </c>
      <c r="K238" s="5">
        <v>-0.225417905350436</v>
      </c>
      <c r="L238" s="5">
        <v>-0.225417905350436</v>
      </c>
      <c r="M238" s="5">
        <v>-0.225417905350436</v>
      </c>
      <c r="N238" s="5">
        <v>-4.34175993335637</v>
      </c>
      <c r="O238" s="5">
        <v>-4.34175993335637</v>
      </c>
      <c r="P238" s="5">
        <v>-4.34175993335637</v>
      </c>
      <c r="Q238" s="5">
        <v>0.0</v>
      </c>
      <c r="R238" s="5">
        <v>0.0</v>
      </c>
      <c r="S238" s="5">
        <v>0.0</v>
      </c>
      <c r="T238" s="5">
        <v>48.5781582216435</v>
      </c>
    </row>
    <row r="239">
      <c r="A239" s="5">
        <v>237.0</v>
      </c>
      <c r="B239" s="6">
        <v>43924.0</v>
      </c>
      <c r="C239" s="5">
        <v>53.5034233747893</v>
      </c>
      <c r="D239" s="5">
        <v>6.1885266491507</v>
      </c>
      <c r="E239" s="5">
        <v>86.8806143265011</v>
      </c>
      <c r="F239" s="5">
        <v>53.5034233747893</v>
      </c>
      <c r="G239" s="5">
        <v>53.5034233747893</v>
      </c>
      <c r="H239" s="5">
        <v>-5.25344669322126</v>
      </c>
      <c r="I239" s="5">
        <v>-5.25344669322126</v>
      </c>
      <c r="J239" s="5">
        <v>-5.25344669322126</v>
      </c>
      <c r="K239" s="5">
        <v>-0.739640081279096</v>
      </c>
      <c r="L239" s="5">
        <v>-0.739640081279096</v>
      </c>
      <c r="M239" s="5">
        <v>-0.739640081279096</v>
      </c>
      <c r="N239" s="5">
        <v>-4.51380661194216</v>
      </c>
      <c r="O239" s="5">
        <v>-4.51380661194216</v>
      </c>
      <c r="P239" s="5">
        <v>-4.51380661194216</v>
      </c>
      <c r="Q239" s="5">
        <v>0.0</v>
      </c>
      <c r="R239" s="5">
        <v>0.0</v>
      </c>
      <c r="S239" s="5">
        <v>0.0</v>
      </c>
      <c r="T239" s="5">
        <v>48.2499766815681</v>
      </c>
    </row>
    <row r="240">
      <c r="A240" s="5">
        <v>238.0</v>
      </c>
      <c r="B240" s="6">
        <v>43927.0</v>
      </c>
      <c r="C240" s="5">
        <v>54.5776853181065</v>
      </c>
      <c r="D240" s="5">
        <v>10.422643846623</v>
      </c>
      <c r="E240" s="5">
        <v>91.2451331786031</v>
      </c>
      <c r="F240" s="5">
        <v>54.5776853181065</v>
      </c>
      <c r="G240" s="5">
        <v>54.5776853181065</v>
      </c>
      <c r="H240" s="5">
        <v>-4.46138244842438</v>
      </c>
      <c r="I240" s="5">
        <v>-4.46138244842438</v>
      </c>
      <c r="J240" s="5">
        <v>-4.46138244842438</v>
      </c>
      <c r="K240" s="5">
        <v>1.16457933345104</v>
      </c>
      <c r="L240" s="5">
        <v>1.16457933345104</v>
      </c>
      <c r="M240" s="5">
        <v>1.16457933345104</v>
      </c>
      <c r="N240" s="5">
        <v>-5.62596178187543</v>
      </c>
      <c r="O240" s="5">
        <v>-5.62596178187543</v>
      </c>
      <c r="P240" s="5">
        <v>-5.62596178187543</v>
      </c>
      <c r="Q240" s="5">
        <v>0.0</v>
      </c>
      <c r="R240" s="5">
        <v>0.0</v>
      </c>
      <c r="S240" s="5">
        <v>0.0</v>
      </c>
      <c r="T240" s="5">
        <v>50.1163028696821</v>
      </c>
    </row>
    <row r="241">
      <c r="A241" s="5">
        <v>239.0</v>
      </c>
      <c r="B241" s="6">
        <v>43928.0</v>
      </c>
      <c r="C241" s="5">
        <v>54.9357726325455</v>
      </c>
      <c r="D241" s="5">
        <v>9.60765110599526</v>
      </c>
      <c r="E241" s="5">
        <v>92.4755963580927</v>
      </c>
      <c r="F241" s="5">
        <v>54.9357726325455</v>
      </c>
      <c r="G241" s="5">
        <v>54.9357726325455</v>
      </c>
      <c r="H241" s="5">
        <v>-5.89574076301909</v>
      </c>
      <c r="I241" s="5">
        <v>-5.89574076301909</v>
      </c>
      <c r="J241" s="5">
        <v>-5.89574076301909</v>
      </c>
      <c r="K241" s="5">
        <v>0.247324772138494</v>
      </c>
      <c r="L241" s="5">
        <v>0.247324772138494</v>
      </c>
      <c r="M241" s="5">
        <v>0.247324772138494</v>
      </c>
      <c r="N241" s="5">
        <v>-6.14306553515758</v>
      </c>
      <c r="O241" s="5">
        <v>-6.14306553515758</v>
      </c>
      <c r="P241" s="5">
        <v>-6.14306553515758</v>
      </c>
      <c r="Q241" s="5">
        <v>0.0</v>
      </c>
      <c r="R241" s="5">
        <v>0.0</v>
      </c>
      <c r="S241" s="5">
        <v>0.0</v>
      </c>
      <c r="T241" s="5">
        <v>49.0400318695264</v>
      </c>
    </row>
    <row r="242">
      <c r="A242" s="5">
        <v>240.0</v>
      </c>
      <c r="B242" s="6">
        <v>43929.0</v>
      </c>
      <c r="C242" s="5">
        <v>55.2938599469846</v>
      </c>
      <c r="D242" s="5">
        <v>8.60553522450013</v>
      </c>
      <c r="E242" s="5">
        <v>87.796797236519</v>
      </c>
      <c r="F242" s="5">
        <v>55.2938599469846</v>
      </c>
      <c r="G242" s="5">
        <v>55.2938599469846</v>
      </c>
      <c r="H242" s="5">
        <v>-6.09732967864653</v>
      </c>
      <c r="I242" s="5">
        <v>-6.09732967864653</v>
      </c>
      <c r="J242" s="5">
        <v>-6.09732967864653</v>
      </c>
      <c r="K242" s="5">
        <v>0.608132553627466</v>
      </c>
      <c r="L242" s="5">
        <v>0.608132553627466</v>
      </c>
      <c r="M242" s="5">
        <v>0.608132553627466</v>
      </c>
      <c r="N242" s="5">
        <v>-6.705462232274</v>
      </c>
      <c r="O242" s="5">
        <v>-6.705462232274</v>
      </c>
      <c r="P242" s="5">
        <v>-6.705462232274</v>
      </c>
      <c r="Q242" s="5">
        <v>0.0</v>
      </c>
      <c r="R242" s="5">
        <v>0.0</v>
      </c>
      <c r="S242" s="5">
        <v>0.0</v>
      </c>
      <c r="T242" s="5">
        <v>49.196530268338</v>
      </c>
    </row>
    <row r="243">
      <c r="A243" s="5">
        <v>241.0</v>
      </c>
      <c r="B243" s="6">
        <v>43930.0</v>
      </c>
      <c r="C243" s="5">
        <v>55.6519472614236</v>
      </c>
      <c r="D243" s="5">
        <v>8.36144571033196</v>
      </c>
      <c r="E243" s="5">
        <v>92.1071145941037</v>
      </c>
      <c r="F243" s="5">
        <v>55.6519472614236</v>
      </c>
      <c r="G243" s="5">
        <v>55.6519472614236</v>
      </c>
      <c r="H243" s="5">
        <v>-7.52190029309662</v>
      </c>
      <c r="I243" s="5">
        <v>-7.52190029309662</v>
      </c>
      <c r="J243" s="5">
        <v>-7.52190029309662</v>
      </c>
      <c r="K243" s="5">
        <v>-0.225417905350015</v>
      </c>
      <c r="L243" s="5">
        <v>-0.225417905350015</v>
      </c>
      <c r="M243" s="5">
        <v>-0.225417905350015</v>
      </c>
      <c r="N243" s="5">
        <v>-7.29648238774661</v>
      </c>
      <c r="O243" s="5">
        <v>-7.29648238774661</v>
      </c>
      <c r="P243" s="5">
        <v>-7.29648238774661</v>
      </c>
      <c r="Q243" s="5">
        <v>0.0</v>
      </c>
      <c r="R243" s="5">
        <v>0.0</v>
      </c>
      <c r="S243" s="5">
        <v>0.0</v>
      </c>
      <c r="T243" s="5">
        <v>48.130046968327</v>
      </c>
    </row>
    <row r="244">
      <c r="A244" s="5">
        <v>242.0</v>
      </c>
      <c r="B244" s="6">
        <v>43934.0</v>
      </c>
      <c r="C244" s="5">
        <v>57.0842965191798</v>
      </c>
      <c r="D244" s="5">
        <v>7.14442272504068</v>
      </c>
      <c r="E244" s="5">
        <v>89.4078392405127</v>
      </c>
      <c r="F244" s="5">
        <v>57.0842965191798</v>
      </c>
      <c r="G244" s="5">
        <v>57.0842965191798</v>
      </c>
      <c r="H244" s="5">
        <v>-8.48484511787014</v>
      </c>
      <c r="I244" s="5">
        <v>-8.48484511787014</v>
      </c>
      <c r="J244" s="5">
        <v>-8.48484511787014</v>
      </c>
      <c r="K244" s="5">
        <v>1.16457933345127</v>
      </c>
      <c r="L244" s="5">
        <v>1.16457933345127</v>
      </c>
      <c r="M244" s="5">
        <v>1.16457933345127</v>
      </c>
      <c r="N244" s="5">
        <v>-9.64942445132142</v>
      </c>
      <c r="O244" s="5">
        <v>-9.64942445132142</v>
      </c>
      <c r="P244" s="5">
        <v>-9.64942445132142</v>
      </c>
      <c r="Q244" s="5">
        <v>0.0</v>
      </c>
      <c r="R244" s="5">
        <v>0.0</v>
      </c>
      <c r="S244" s="5">
        <v>0.0</v>
      </c>
      <c r="T244" s="5">
        <v>48.5994514013097</v>
      </c>
    </row>
    <row r="245">
      <c r="A245" s="5">
        <v>243.0</v>
      </c>
      <c r="B245" s="6">
        <v>43935.0</v>
      </c>
      <c r="C245" s="5">
        <v>57.5638339121909</v>
      </c>
      <c r="D245" s="5">
        <v>5.12999754207085</v>
      </c>
      <c r="E245" s="5">
        <v>89.7158025116567</v>
      </c>
      <c r="F245" s="5">
        <v>57.5638339121909</v>
      </c>
      <c r="G245" s="5">
        <v>57.5638339121909</v>
      </c>
      <c r="H245" s="5">
        <v>-9.9278720987322</v>
      </c>
      <c r="I245" s="5">
        <v>-9.9278720987322</v>
      </c>
      <c r="J245" s="5">
        <v>-9.9278720987322</v>
      </c>
      <c r="K245" s="5">
        <v>0.247324772138582</v>
      </c>
      <c r="L245" s="5">
        <v>0.247324772138582</v>
      </c>
      <c r="M245" s="5">
        <v>0.247324772138582</v>
      </c>
      <c r="N245" s="5">
        <v>-10.1751968708707</v>
      </c>
      <c r="O245" s="5">
        <v>-10.1751968708707</v>
      </c>
      <c r="P245" s="5">
        <v>-10.1751968708707</v>
      </c>
      <c r="Q245" s="5">
        <v>0.0</v>
      </c>
      <c r="R245" s="5">
        <v>0.0</v>
      </c>
      <c r="S245" s="5">
        <v>0.0</v>
      </c>
      <c r="T245" s="5">
        <v>47.6359618134587</v>
      </c>
    </row>
    <row r="246">
      <c r="A246" s="5">
        <v>244.0</v>
      </c>
      <c r="B246" s="6">
        <v>43936.0</v>
      </c>
      <c r="C246" s="5">
        <v>58.0433713052021</v>
      </c>
      <c r="D246" s="5">
        <v>5.97895279272013</v>
      </c>
      <c r="E246" s="5">
        <v>89.2981954480464</v>
      </c>
      <c r="F246" s="5">
        <v>58.0433713052021</v>
      </c>
      <c r="G246" s="5">
        <v>58.0433713052021</v>
      </c>
      <c r="H246" s="5">
        <v>-10.0515560565878</v>
      </c>
      <c r="I246" s="5">
        <v>-10.0515560565878</v>
      </c>
      <c r="J246" s="5">
        <v>-10.0515560565878</v>
      </c>
      <c r="K246" s="5">
        <v>0.608132553626577</v>
      </c>
      <c r="L246" s="5">
        <v>0.608132553626577</v>
      </c>
      <c r="M246" s="5">
        <v>0.608132553626577</v>
      </c>
      <c r="N246" s="5">
        <v>-10.6596886102143</v>
      </c>
      <c r="O246" s="5">
        <v>-10.6596886102143</v>
      </c>
      <c r="P246" s="5">
        <v>-10.6596886102143</v>
      </c>
      <c r="Q246" s="5">
        <v>0.0</v>
      </c>
      <c r="R246" s="5">
        <v>0.0</v>
      </c>
      <c r="S246" s="5">
        <v>0.0</v>
      </c>
      <c r="T246" s="5">
        <v>47.9918152486143</v>
      </c>
    </row>
    <row r="247">
      <c r="A247" s="5">
        <v>245.0</v>
      </c>
      <c r="B247" s="6">
        <v>43937.0</v>
      </c>
      <c r="C247" s="5">
        <v>58.5229086982133</v>
      </c>
      <c r="D247" s="5">
        <v>7.81907865589862</v>
      </c>
      <c r="E247" s="5">
        <v>88.566893933075</v>
      </c>
      <c r="F247" s="5">
        <v>58.5229086982133</v>
      </c>
      <c r="G247" s="5">
        <v>58.5229086982133</v>
      </c>
      <c r="H247" s="5">
        <v>-11.32449039737</v>
      </c>
      <c r="I247" s="5">
        <v>-11.32449039737</v>
      </c>
      <c r="J247" s="5">
        <v>-11.32449039737</v>
      </c>
      <c r="K247" s="5">
        <v>-0.225417905347668</v>
      </c>
      <c r="L247" s="5">
        <v>-0.225417905347668</v>
      </c>
      <c r="M247" s="5">
        <v>-0.225417905347668</v>
      </c>
      <c r="N247" s="5">
        <v>-11.0990724920224</v>
      </c>
      <c r="O247" s="5">
        <v>-11.0990724920224</v>
      </c>
      <c r="P247" s="5">
        <v>-11.0990724920224</v>
      </c>
      <c r="Q247" s="5">
        <v>0.0</v>
      </c>
      <c r="R247" s="5">
        <v>0.0</v>
      </c>
      <c r="S247" s="5">
        <v>0.0</v>
      </c>
      <c r="T247" s="5">
        <v>47.1984183008432</v>
      </c>
    </row>
    <row r="248">
      <c r="A248" s="5">
        <v>246.0</v>
      </c>
      <c r="B248" s="6">
        <v>43938.0</v>
      </c>
      <c r="C248" s="5">
        <v>59.0024460912244</v>
      </c>
      <c r="D248" s="5">
        <v>7.0335374316767</v>
      </c>
      <c r="E248" s="5">
        <v>86.6012693706554</v>
      </c>
      <c r="F248" s="5">
        <v>59.0024460912244</v>
      </c>
      <c r="G248" s="5">
        <v>59.0024460912244</v>
      </c>
      <c r="H248" s="5">
        <v>-12.2317356560321</v>
      </c>
      <c r="I248" s="5">
        <v>-12.2317356560321</v>
      </c>
      <c r="J248" s="5">
        <v>-12.2317356560321</v>
      </c>
      <c r="K248" s="5">
        <v>-0.739640081281408</v>
      </c>
      <c r="L248" s="5">
        <v>-0.739640081281408</v>
      </c>
      <c r="M248" s="5">
        <v>-0.739640081281408</v>
      </c>
      <c r="N248" s="5">
        <v>-11.4920955747507</v>
      </c>
      <c r="O248" s="5">
        <v>-11.4920955747507</v>
      </c>
      <c r="P248" s="5">
        <v>-11.4920955747507</v>
      </c>
      <c r="Q248" s="5">
        <v>0.0</v>
      </c>
      <c r="R248" s="5">
        <v>0.0</v>
      </c>
      <c r="S248" s="5">
        <v>0.0</v>
      </c>
      <c r="T248" s="5">
        <v>46.7707104351922</v>
      </c>
    </row>
    <row r="249">
      <c r="A249" s="5">
        <v>247.0</v>
      </c>
      <c r="B249" s="6">
        <v>43941.0</v>
      </c>
      <c r="C249" s="5">
        <v>60.4410582702578</v>
      </c>
      <c r="D249" s="5">
        <v>10.6435297425552</v>
      </c>
      <c r="E249" s="5">
        <v>87.625170137244</v>
      </c>
      <c r="F249" s="5">
        <v>60.4410582702578</v>
      </c>
      <c r="G249" s="5">
        <v>60.4410582702578</v>
      </c>
      <c r="H249" s="5">
        <v>-11.2526794906128</v>
      </c>
      <c r="I249" s="5">
        <v>-11.2526794906128</v>
      </c>
      <c r="J249" s="5">
        <v>-11.2526794906128</v>
      </c>
      <c r="K249" s="5">
        <v>1.16457933345161</v>
      </c>
      <c r="L249" s="5">
        <v>1.16457933345161</v>
      </c>
      <c r="M249" s="5">
        <v>1.16457933345161</v>
      </c>
      <c r="N249" s="5">
        <v>-12.4172588240644</v>
      </c>
      <c r="O249" s="5">
        <v>-12.4172588240644</v>
      </c>
      <c r="P249" s="5">
        <v>-12.4172588240644</v>
      </c>
      <c r="Q249" s="5">
        <v>0.0</v>
      </c>
      <c r="R249" s="5">
        <v>0.0</v>
      </c>
      <c r="S249" s="5">
        <v>0.0</v>
      </c>
      <c r="T249" s="5">
        <v>49.188378779645</v>
      </c>
    </row>
    <row r="250">
      <c r="A250" s="5">
        <v>248.0</v>
      </c>
      <c r="B250" s="6">
        <v>43942.0</v>
      </c>
      <c r="C250" s="5">
        <v>60.920595663269</v>
      </c>
      <c r="D250" s="5">
        <v>7.76606977353199</v>
      </c>
      <c r="E250" s="5">
        <v>88.737284050483</v>
      </c>
      <c r="F250" s="5">
        <v>60.920595663269</v>
      </c>
      <c r="G250" s="5">
        <v>60.920595663269</v>
      </c>
      <c r="H250" s="5">
        <v>-12.412709019761</v>
      </c>
      <c r="I250" s="5">
        <v>-12.412709019761</v>
      </c>
      <c r="J250" s="5">
        <v>-12.412709019761</v>
      </c>
      <c r="K250" s="5">
        <v>0.247324772139968</v>
      </c>
      <c r="L250" s="5">
        <v>0.247324772139968</v>
      </c>
      <c r="M250" s="5">
        <v>0.247324772139968</v>
      </c>
      <c r="N250" s="5">
        <v>-12.660033791901</v>
      </c>
      <c r="O250" s="5">
        <v>-12.660033791901</v>
      </c>
      <c r="P250" s="5">
        <v>-12.660033791901</v>
      </c>
      <c r="Q250" s="5">
        <v>0.0</v>
      </c>
      <c r="R250" s="5">
        <v>0.0</v>
      </c>
      <c r="S250" s="5">
        <v>0.0</v>
      </c>
      <c r="T250" s="5">
        <v>48.5078866435079</v>
      </c>
    </row>
    <row r="251">
      <c r="A251" s="5">
        <v>249.0</v>
      </c>
      <c r="B251" s="6">
        <v>43943.0</v>
      </c>
      <c r="C251" s="5">
        <v>61.4001330562801</v>
      </c>
      <c r="D251" s="5">
        <v>7.55194464914632</v>
      </c>
      <c r="E251" s="5">
        <v>87.9978449502402</v>
      </c>
      <c r="F251" s="5">
        <v>61.4001330562801</v>
      </c>
      <c r="G251" s="5">
        <v>61.4001330562801</v>
      </c>
      <c r="H251" s="5">
        <v>-12.2758712328435</v>
      </c>
      <c r="I251" s="5">
        <v>-12.2758712328435</v>
      </c>
      <c r="J251" s="5">
        <v>-12.2758712328435</v>
      </c>
      <c r="K251" s="5">
        <v>0.608132553628356</v>
      </c>
      <c r="L251" s="5">
        <v>0.608132553628356</v>
      </c>
      <c r="M251" s="5">
        <v>0.608132553628356</v>
      </c>
      <c r="N251" s="5">
        <v>-12.8840037864719</v>
      </c>
      <c r="O251" s="5">
        <v>-12.8840037864719</v>
      </c>
      <c r="P251" s="5">
        <v>-12.8840037864719</v>
      </c>
      <c r="Q251" s="5">
        <v>0.0</v>
      </c>
      <c r="R251" s="5">
        <v>0.0</v>
      </c>
      <c r="S251" s="5">
        <v>0.0</v>
      </c>
      <c r="T251" s="5">
        <v>49.1242618234366</v>
      </c>
    </row>
    <row r="252">
      <c r="A252" s="5">
        <v>250.0</v>
      </c>
      <c r="B252" s="6">
        <v>43944.0</v>
      </c>
      <c r="C252" s="5">
        <v>61.8796704492913</v>
      </c>
      <c r="D252" s="5">
        <v>9.97150637576669</v>
      </c>
      <c r="E252" s="5">
        <v>87.3822423756029</v>
      </c>
      <c r="F252" s="5">
        <v>61.8796704492913</v>
      </c>
      <c r="G252" s="5">
        <v>61.8796704492913</v>
      </c>
      <c r="H252" s="5">
        <v>-13.3249409951129</v>
      </c>
      <c r="I252" s="5">
        <v>-13.3249409951129</v>
      </c>
      <c r="J252" s="5">
        <v>-13.3249409951129</v>
      </c>
      <c r="K252" s="5">
        <v>-0.225417905347247</v>
      </c>
      <c r="L252" s="5">
        <v>-0.225417905347247</v>
      </c>
      <c r="M252" s="5">
        <v>-0.225417905347247</v>
      </c>
      <c r="N252" s="5">
        <v>-13.0995230897657</v>
      </c>
      <c r="O252" s="5">
        <v>-13.0995230897657</v>
      </c>
      <c r="P252" s="5">
        <v>-13.0995230897657</v>
      </c>
      <c r="Q252" s="5">
        <v>0.0</v>
      </c>
      <c r="R252" s="5">
        <v>0.0</v>
      </c>
      <c r="S252" s="5">
        <v>0.0</v>
      </c>
      <c r="T252" s="5">
        <v>48.5547294541784</v>
      </c>
    </row>
    <row r="253">
      <c r="A253" s="5">
        <v>251.0</v>
      </c>
      <c r="B253" s="6">
        <v>43945.0</v>
      </c>
      <c r="C253" s="5">
        <v>62.3592078423024</v>
      </c>
      <c r="D253" s="5">
        <v>6.95152145396705</v>
      </c>
      <c r="E253" s="5">
        <v>88.6254902312042</v>
      </c>
      <c r="F253" s="5">
        <v>62.3592078423024</v>
      </c>
      <c r="G253" s="5">
        <v>62.3592078423024</v>
      </c>
      <c r="H253" s="5">
        <v>-14.0573198690653</v>
      </c>
      <c r="I253" s="5">
        <v>-14.0573198690653</v>
      </c>
      <c r="J253" s="5">
        <v>-14.0573198690653</v>
      </c>
      <c r="K253" s="5">
        <v>-0.739640081279131</v>
      </c>
      <c r="L253" s="5">
        <v>-0.739640081279131</v>
      </c>
      <c r="M253" s="5">
        <v>-0.739640081279131</v>
      </c>
      <c r="N253" s="5">
        <v>-13.3176797877862</v>
      </c>
      <c r="O253" s="5">
        <v>-13.3176797877862</v>
      </c>
      <c r="P253" s="5">
        <v>-13.3176797877862</v>
      </c>
      <c r="Q253" s="5">
        <v>0.0</v>
      </c>
      <c r="R253" s="5">
        <v>0.0</v>
      </c>
      <c r="S253" s="5">
        <v>0.0</v>
      </c>
      <c r="T253" s="5">
        <v>48.3018879732371</v>
      </c>
    </row>
    <row r="254">
      <c r="A254" s="5">
        <v>252.0</v>
      </c>
      <c r="B254" s="6">
        <v>43948.0</v>
      </c>
      <c r="C254" s="5">
        <v>63.7978200213359</v>
      </c>
      <c r="D254" s="5">
        <v>11.0548594736438</v>
      </c>
      <c r="E254" s="5">
        <v>91.393242925641</v>
      </c>
      <c r="F254" s="5">
        <v>63.7978200213359</v>
      </c>
      <c r="G254" s="5">
        <v>63.7978200213359</v>
      </c>
      <c r="H254" s="5">
        <v>-12.9360738698184</v>
      </c>
      <c r="I254" s="5">
        <v>-12.9360738698184</v>
      </c>
      <c r="J254" s="5">
        <v>-12.9360738698184</v>
      </c>
      <c r="K254" s="5">
        <v>1.16457933345022</v>
      </c>
      <c r="L254" s="5">
        <v>1.16457933345022</v>
      </c>
      <c r="M254" s="5">
        <v>1.16457933345022</v>
      </c>
      <c r="N254" s="5">
        <v>-14.1006532032686</v>
      </c>
      <c r="O254" s="5">
        <v>-14.1006532032686</v>
      </c>
      <c r="P254" s="5">
        <v>-14.1006532032686</v>
      </c>
      <c r="Q254" s="5">
        <v>0.0</v>
      </c>
      <c r="R254" s="5">
        <v>0.0</v>
      </c>
      <c r="S254" s="5">
        <v>0.0</v>
      </c>
      <c r="T254" s="5">
        <v>50.8617461515174</v>
      </c>
    </row>
    <row r="255">
      <c r="A255" s="5">
        <v>253.0</v>
      </c>
      <c r="B255" s="6">
        <v>43949.0</v>
      </c>
      <c r="C255" s="5">
        <v>64.2773574143471</v>
      </c>
      <c r="D255" s="5">
        <v>9.31218114528343</v>
      </c>
      <c r="E255" s="5">
        <v>88.5572409903111</v>
      </c>
      <c r="F255" s="5">
        <v>64.2773574143471</v>
      </c>
      <c r="G255" s="5">
        <v>64.2773574143471</v>
      </c>
      <c r="H255" s="5">
        <v>-14.1922623386989</v>
      </c>
      <c r="I255" s="5">
        <v>-14.1922623386989</v>
      </c>
      <c r="J255" s="5">
        <v>-14.1922623386989</v>
      </c>
      <c r="K255" s="5">
        <v>0.247324772140056</v>
      </c>
      <c r="L255" s="5">
        <v>0.247324772140056</v>
      </c>
      <c r="M255" s="5">
        <v>0.247324772140056</v>
      </c>
      <c r="N255" s="5">
        <v>-14.439587110839</v>
      </c>
      <c r="O255" s="5">
        <v>-14.439587110839</v>
      </c>
      <c r="P255" s="5">
        <v>-14.439587110839</v>
      </c>
      <c r="Q255" s="5">
        <v>0.0</v>
      </c>
      <c r="R255" s="5">
        <v>0.0</v>
      </c>
      <c r="S255" s="5">
        <v>0.0</v>
      </c>
      <c r="T255" s="5">
        <v>50.0850950756481</v>
      </c>
    </row>
    <row r="256">
      <c r="A256" s="5">
        <v>254.0</v>
      </c>
      <c r="B256" s="6">
        <v>43950.0</v>
      </c>
      <c r="C256" s="5">
        <v>64.7568948073582</v>
      </c>
      <c r="D256" s="5">
        <v>11.4161861649044</v>
      </c>
      <c r="E256" s="5">
        <v>93.5976300078161</v>
      </c>
      <c r="F256" s="5">
        <v>64.7568948073582</v>
      </c>
      <c r="G256" s="5">
        <v>64.7568948073582</v>
      </c>
      <c r="H256" s="5">
        <v>-14.2242530166624</v>
      </c>
      <c r="I256" s="5">
        <v>-14.2242530166624</v>
      </c>
      <c r="J256" s="5">
        <v>-14.2242530166624</v>
      </c>
      <c r="K256" s="5">
        <v>0.608132553624797</v>
      </c>
      <c r="L256" s="5">
        <v>0.608132553624797</v>
      </c>
      <c r="M256" s="5">
        <v>0.608132553624797</v>
      </c>
      <c r="N256" s="5">
        <v>-14.8323855702872</v>
      </c>
      <c r="O256" s="5">
        <v>-14.8323855702872</v>
      </c>
      <c r="P256" s="5">
        <v>-14.8323855702872</v>
      </c>
      <c r="Q256" s="5">
        <v>0.0</v>
      </c>
      <c r="R256" s="5">
        <v>0.0</v>
      </c>
      <c r="S256" s="5">
        <v>0.0</v>
      </c>
      <c r="T256" s="5">
        <v>50.5326417906957</v>
      </c>
    </row>
    <row r="257">
      <c r="A257" s="5">
        <v>255.0</v>
      </c>
      <c r="B257" s="6">
        <v>43951.0</v>
      </c>
      <c r="C257" s="5">
        <v>65.2364322003693</v>
      </c>
      <c r="D257" s="5">
        <v>10.8646192824504</v>
      </c>
      <c r="E257" s="5">
        <v>92.3207419527569</v>
      </c>
      <c r="F257" s="5">
        <v>65.2364322003693</v>
      </c>
      <c r="G257" s="5">
        <v>65.2364322003693</v>
      </c>
      <c r="H257" s="5">
        <v>-15.5110435446017</v>
      </c>
      <c r="I257" s="5">
        <v>-15.5110435446017</v>
      </c>
      <c r="J257" s="5">
        <v>-15.5110435446017</v>
      </c>
      <c r="K257" s="5">
        <v>-0.225417905350212</v>
      </c>
      <c r="L257" s="5">
        <v>-0.225417905350212</v>
      </c>
      <c r="M257" s="5">
        <v>-0.225417905350212</v>
      </c>
      <c r="N257" s="5">
        <v>-15.2856256392515</v>
      </c>
      <c r="O257" s="5">
        <v>-15.2856256392515</v>
      </c>
      <c r="P257" s="5">
        <v>-15.2856256392515</v>
      </c>
      <c r="Q257" s="5">
        <v>0.0</v>
      </c>
      <c r="R257" s="5">
        <v>0.0</v>
      </c>
      <c r="S257" s="5">
        <v>0.0</v>
      </c>
      <c r="T257" s="5">
        <v>49.7253886557676</v>
      </c>
    </row>
    <row r="258">
      <c r="A258" s="5">
        <v>256.0</v>
      </c>
      <c r="B258" s="6">
        <v>43952.0</v>
      </c>
      <c r="C258" s="5">
        <v>65.7159695933805</v>
      </c>
      <c r="D258" s="5">
        <v>7.26336079567612</v>
      </c>
      <c r="E258" s="5">
        <v>87.2706530442906</v>
      </c>
      <c r="F258" s="5">
        <v>65.7159695933805</v>
      </c>
      <c r="G258" s="5">
        <v>65.7159695933805</v>
      </c>
      <c r="H258" s="5">
        <v>-16.5435361119731</v>
      </c>
      <c r="I258" s="5">
        <v>-16.5435361119731</v>
      </c>
      <c r="J258" s="5">
        <v>-16.5435361119731</v>
      </c>
      <c r="K258" s="5">
        <v>-0.739640081281658</v>
      </c>
      <c r="L258" s="5">
        <v>-0.739640081281658</v>
      </c>
      <c r="M258" s="5">
        <v>-0.739640081281658</v>
      </c>
      <c r="N258" s="5">
        <v>-15.8038960306914</v>
      </c>
      <c r="O258" s="5">
        <v>-15.8038960306914</v>
      </c>
      <c r="P258" s="5">
        <v>-15.8038960306914</v>
      </c>
      <c r="Q258" s="5">
        <v>0.0</v>
      </c>
      <c r="R258" s="5">
        <v>0.0</v>
      </c>
      <c r="S258" s="5">
        <v>0.0</v>
      </c>
      <c r="T258" s="5">
        <v>49.1724334814074</v>
      </c>
    </row>
    <row r="259">
      <c r="A259" s="5">
        <v>257.0</v>
      </c>
      <c r="B259" s="6">
        <v>43955.0</v>
      </c>
      <c r="C259" s="5">
        <v>67.1545817724139</v>
      </c>
      <c r="D259" s="5">
        <v>10.5182771878129</v>
      </c>
      <c r="E259" s="5">
        <v>91.5847093043417</v>
      </c>
      <c r="F259" s="5">
        <v>67.1545817724139</v>
      </c>
      <c r="G259" s="5">
        <v>67.1545817724139</v>
      </c>
      <c r="H259" s="5">
        <v>-16.5963383213373</v>
      </c>
      <c r="I259" s="5">
        <v>-16.5963383213373</v>
      </c>
      <c r="J259" s="5">
        <v>-16.5963383213373</v>
      </c>
      <c r="K259" s="5">
        <v>1.16457933345056</v>
      </c>
      <c r="L259" s="5">
        <v>1.16457933345056</v>
      </c>
      <c r="M259" s="5">
        <v>1.16457933345056</v>
      </c>
      <c r="N259" s="5">
        <v>-17.7609176547879</v>
      </c>
      <c r="O259" s="5">
        <v>-17.7609176547879</v>
      </c>
      <c r="P259" s="5">
        <v>-17.7609176547879</v>
      </c>
      <c r="Q259" s="5">
        <v>0.0</v>
      </c>
      <c r="R259" s="5">
        <v>0.0</v>
      </c>
      <c r="S259" s="5">
        <v>0.0</v>
      </c>
      <c r="T259" s="5">
        <v>50.5582434510766</v>
      </c>
    </row>
    <row r="260">
      <c r="A260" s="5">
        <v>258.0</v>
      </c>
      <c r="B260" s="6">
        <v>43956.0</v>
      </c>
      <c r="C260" s="5">
        <v>67.6341191654251</v>
      </c>
      <c r="D260" s="5">
        <v>11.5232060674216</v>
      </c>
      <c r="E260" s="5">
        <v>90.8804730056325</v>
      </c>
      <c r="F260" s="5">
        <v>67.6341191654251</v>
      </c>
      <c r="G260" s="5">
        <v>67.6341191654251</v>
      </c>
      <c r="H260" s="5">
        <v>-18.2920524824349</v>
      </c>
      <c r="I260" s="5">
        <v>-18.2920524824349</v>
      </c>
      <c r="J260" s="5">
        <v>-18.2920524824349</v>
      </c>
      <c r="K260" s="5">
        <v>0.247324772140145</v>
      </c>
      <c r="L260" s="5">
        <v>0.247324772140145</v>
      </c>
      <c r="M260" s="5">
        <v>0.247324772140145</v>
      </c>
      <c r="N260" s="5">
        <v>-18.539377254575</v>
      </c>
      <c r="O260" s="5">
        <v>-18.539377254575</v>
      </c>
      <c r="P260" s="5">
        <v>-18.539377254575</v>
      </c>
      <c r="Q260" s="5">
        <v>0.0</v>
      </c>
      <c r="R260" s="5">
        <v>0.0</v>
      </c>
      <c r="S260" s="5">
        <v>0.0</v>
      </c>
      <c r="T260" s="5">
        <v>49.3420666829901</v>
      </c>
    </row>
    <row r="261">
      <c r="A261" s="5">
        <v>259.0</v>
      </c>
      <c r="B261" s="6">
        <v>43957.0</v>
      </c>
      <c r="C261" s="5">
        <v>68.1136565584363</v>
      </c>
      <c r="D261" s="5">
        <v>5.65543365018243</v>
      </c>
      <c r="E261" s="5">
        <v>91.5366992067696</v>
      </c>
      <c r="F261" s="5">
        <v>68.1136565584363</v>
      </c>
      <c r="G261" s="5">
        <v>68.1136565584363</v>
      </c>
      <c r="H261" s="5">
        <v>-18.7628200479063</v>
      </c>
      <c r="I261" s="5">
        <v>-18.7628200479063</v>
      </c>
      <c r="J261" s="5">
        <v>-18.7628200479063</v>
      </c>
      <c r="K261" s="5">
        <v>0.608132553626576</v>
      </c>
      <c r="L261" s="5">
        <v>0.608132553626576</v>
      </c>
      <c r="M261" s="5">
        <v>0.608132553626576</v>
      </c>
      <c r="N261" s="5">
        <v>-19.3709526015329</v>
      </c>
      <c r="O261" s="5">
        <v>-19.3709526015329</v>
      </c>
      <c r="P261" s="5">
        <v>-19.3709526015329</v>
      </c>
      <c r="Q261" s="5">
        <v>0.0</v>
      </c>
      <c r="R261" s="5">
        <v>0.0</v>
      </c>
      <c r="S261" s="5">
        <v>0.0</v>
      </c>
      <c r="T261" s="5">
        <v>49.3508365105299</v>
      </c>
    </row>
    <row r="262">
      <c r="A262" s="5">
        <v>260.0</v>
      </c>
      <c r="B262" s="6">
        <v>43958.0</v>
      </c>
      <c r="C262" s="5">
        <v>68.5931939514474</v>
      </c>
      <c r="D262" s="5">
        <v>9.03863793582913</v>
      </c>
      <c r="E262" s="5">
        <v>85.5113260057486</v>
      </c>
      <c r="F262" s="5">
        <v>68.5931939514474</v>
      </c>
      <c r="G262" s="5">
        <v>68.5931939514474</v>
      </c>
      <c r="H262" s="5">
        <v>-20.471729560782</v>
      </c>
      <c r="I262" s="5">
        <v>-20.471729560782</v>
      </c>
      <c r="J262" s="5">
        <v>-20.471729560782</v>
      </c>
      <c r="K262" s="5">
        <v>-0.225417905349791</v>
      </c>
      <c r="L262" s="5">
        <v>-0.225417905349791</v>
      </c>
      <c r="M262" s="5">
        <v>-0.225417905349791</v>
      </c>
      <c r="N262" s="5">
        <v>-20.2463116554322</v>
      </c>
      <c r="O262" s="5">
        <v>-20.2463116554322</v>
      </c>
      <c r="P262" s="5">
        <v>-20.2463116554322</v>
      </c>
      <c r="Q262" s="5">
        <v>0.0</v>
      </c>
      <c r="R262" s="5">
        <v>0.0</v>
      </c>
      <c r="S262" s="5">
        <v>0.0</v>
      </c>
      <c r="T262" s="5">
        <v>48.1214643906653</v>
      </c>
    </row>
    <row r="263">
      <c r="A263" s="5">
        <v>261.0</v>
      </c>
      <c r="B263" s="6">
        <v>43959.0</v>
      </c>
      <c r="C263" s="5">
        <v>69.0727313444585</v>
      </c>
      <c r="D263" s="5">
        <v>7.00018416113703</v>
      </c>
      <c r="E263" s="5">
        <v>87.4850398704257</v>
      </c>
      <c r="F263" s="5">
        <v>69.0727313444585</v>
      </c>
      <c r="G263" s="5">
        <v>69.0727313444585</v>
      </c>
      <c r="H263" s="5">
        <v>-21.8937929652658</v>
      </c>
      <c r="I263" s="5">
        <v>-21.8937929652658</v>
      </c>
      <c r="J263" s="5">
        <v>-21.8937929652658</v>
      </c>
      <c r="K263" s="5">
        <v>-0.739640081279381</v>
      </c>
      <c r="L263" s="5">
        <v>-0.739640081279381</v>
      </c>
      <c r="M263" s="5">
        <v>-0.739640081279381</v>
      </c>
      <c r="N263" s="5">
        <v>-21.1541528839864</v>
      </c>
      <c r="O263" s="5">
        <v>-21.1541528839864</v>
      </c>
      <c r="P263" s="5">
        <v>-21.1541528839864</v>
      </c>
      <c r="Q263" s="5">
        <v>0.0</v>
      </c>
      <c r="R263" s="5">
        <v>0.0</v>
      </c>
      <c r="S263" s="5">
        <v>0.0</v>
      </c>
      <c r="T263" s="5">
        <v>47.1789383791927</v>
      </c>
    </row>
    <row r="264">
      <c r="A264" s="5">
        <v>262.0</v>
      </c>
      <c r="B264" s="6">
        <v>43962.0</v>
      </c>
      <c r="C264" s="5">
        <v>70.511343523492</v>
      </c>
      <c r="D264" s="5">
        <v>4.51489726460354</v>
      </c>
      <c r="E264" s="5">
        <v>88.7724158385105</v>
      </c>
      <c r="F264" s="5">
        <v>70.511343523492</v>
      </c>
      <c r="G264" s="5">
        <v>70.511343523492</v>
      </c>
      <c r="H264" s="5">
        <v>-22.7716581688418</v>
      </c>
      <c r="I264" s="5">
        <v>-22.7716581688418</v>
      </c>
      <c r="J264" s="5">
        <v>-22.7716581688418</v>
      </c>
      <c r="K264" s="5">
        <v>1.16457933345079</v>
      </c>
      <c r="L264" s="5">
        <v>1.16457933345079</v>
      </c>
      <c r="M264" s="5">
        <v>1.16457933345079</v>
      </c>
      <c r="N264" s="5">
        <v>-23.9362375022926</v>
      </c>
      <c r="O264" s="5">
        <v>-23.9362375022926</v>
      </c>
      <c r="P264" s="5">
        <v>-23.9362375022926</v>
      </c>
      <c r="Q264" s="5">
        <v>0.0</v>
      </c>
      <c r="R264" s="5">
        <v>0.0</v>
      </c>
      <c r="S264" s="5">
        <v>0.0</v>
      </c>
      <c r="T264" s="5">
        <v>47.7396853546502</v>
      </c>
    </row>
    <row r="265">
      <c r="A265" s="5">
        <v>263.0</v>
      </c>
      <c r="B265" s="6">
        <v>43963.0</v>
      </c>
      <c r="C265" s="5">
        <v>70.9908809165032</v>
      </c>
      <c r="D265" s="5">
        <v>5.69549466998557</v>
      </c>
      <c r="E265" s="5">
        <v>85.359603263672</v>
      </c>
      <c r="F265" s="5">
        <v>70.9908809165032</v>
      </c>
      <c r="G265" s="5">
        <v>70.9908809165032</v>
      </c>
      <c r="H265" s="5">
        <v>-24.5850863000404</v>
      </c>
      <c r="I265" s="5">
        <v>-24.5850863000404</v>
      </c>
      <c r="J265" s="5">
        <v>-24.5850863000404</v>
      </c>
      <c r="K265" s="5">
        <v>0.24732477213881</v>
      </c>
      <c r="L265" s="5">
        <v>0.24732477213881</v>
      </c>
      <c r="M265" s="5">
        <v>0.24732477213881</v>
      </c>
      <c r="N265" s="5">
        <v>-24.8324110721793</v>
      </c>
      <c r="O265" s="5">
        <v>-24.8324110721793</v>
      </c>
      <c r="P265" s="5">
        <v>-24.8324110721793</v>
      </c>
      <c r="Q265" s="5">
        <v>0.0</v>
      </c>
      <c r="R265" s="5">
        <v>0.0</v>
      </c>
      <c r="S265" s="5">
        <v>0.0</v>
      </c>
      <c r="T265" s="5">
        <v>46.4057946164627</v>
      </c>
    </row>
    <row r="266">
      <c r="A266" s="5">
        <v>264.0</v>
      </c>
      <c r="B266" s="6">
        <v>43964.0</v>
      </c>
      <c r="C266" s="5">
        <v>71.4704183095143</v>
      </c>
      <c r="D266" s="5">
        <v>3.25440955662638</v>
      </c>
      <c r="E266" s="5">
        <v>88.5460052767555</v>
      </c>
      <c r="F266" s="5">
        <v>71.4704183095143</v>
      </c>
      <c r="G266" s="5">
        <v>71.4704183095143</v>
      </c>
      <c r="H266" s="5">
        <v>-25.0782771001919</v>
      </c>
      <c r="I266" s="5">
        <v>-25.0782771001919</v>
      </c>
      <c r="J266" s="5">
        <v>-25.0782771001919</v>
      </c>
      <c r="K266" s="5">
        <v>0.608132553627241</v>
      </c>
      <c r="L266" s="5">
        <v>0.608132553627241</v>
      </c>
      <c r="M266" s="5">
        <v>0.608132553627241</v>
      </c>
      <c r="N266" s="5">
        <v>-25.6864096538192</v>
      </c>
      <c r="O266" s="5">
        <v>-25.6864096538192</v>
      </c>
      <c r="P266" s="5">
        <v>-25.6864096538192</v>
      </c>
      <c r="Q266" s="5">
        <v>0.0</v>
      </c>
      <c r="R266" s="5">
        <v>0.0</v>
      </c>
      <c r="S266" s="5">
        <v>0.0</v>
      </c>
      <c r="T266" s="5">
        <v>46.3921412093223</v>
      </c>
    </row>
    <row r="267">
      <c r="A267" s="5">
        <v>265.0</v>
      </c>
      <c r="B267" s="6">
        <v>43965.0</v>
      </c>
      <c r="C267" s="5">
        <v>71.9499557025255</v>
      </c>
      <c r="D267" s="5">
        <v>5.33318036959689</v>
      </c>
      <c r="E267" s="5">
        <v>87.5866303956159</v>
      </c>
      <c r="F267" s="5">
        <v>71.9499557025255</v>
      </c>
      <c r="G267" s="5">
        <v>71.9499557025255</v>
      </c>
      <c r="H267" s="5">
        <v>-26.7078573463222</v>
      </c>
      <c r="I267" s="5">
        <v>-26.7078573463222</v>
      </c>
      <c r="J267" s="5">
        <v>-26.7078573463222</v>
      </c>
      <c r="K267" s="5">
        <v>-0.225417905352756</v>
      </c>
      <c r="L267" s="5">
        <v>-0.225417905352756</v>
      </c>
      <c r="M267" s="5">
        <v>-0.225417905352756</v>
      </c>
      <c r="N267" s="5">
        <v>-26.4824394409695</v>
      </c>
      <c r="O267" s="5">
        <v>-26.4824394409695</v>
      </c>
      <c r="P267" s="5">
        <v>-26.4824394409695</v>
      </c>
      <c r="Q267" s="5">
        <v>0.0</v>
      </c>
      <c r="R267" s="5">
        <v>0.0</v>
      </c>
      <c r="S267" s="5">
        <v>0.0</v>
      </c>
      <c r="T267" s="5">
        <v>45.2420983562032</v>
      </c>
    </row>
    <row r="268">
      <c r="A268" s="5">
        <v>266.0</v>
      </c>
      <c r="B268" s="6">
        <v>43966.0</v>
      </c>
      <c r="C268" s="5">
        <v>72.4294930955366</v>
      </c>
      <c r="D268" s="5">
        <v>6.50831084422814</v>
      </c>
      <c r="E268" s="5">
        <v>84.6021609515893</v>
      </c>
      <c r="F268" s="5">
        <v>72.4294930955366</v>
      </c>
      <c r="G268" s="5">
        <v>72.4294930955366</v>
      </c>
      <c r="H268" s="5">
        <v>-27.9450457543357</v>
      </c>
      <c r="I268" s="5">
        <v>-27.9450457543357</v>
      </c>
      <c r="J268" s="5">
        <v>-27.9450457543357</v>
      </c>
      <c r="K268" s="5">
        <v>-0.739640081280536</v>
      </c>
      <c r="L268" s="5">
        <v>-0.739640081280536</v>
      </c>
      <c r="M268" s="5">
        <v>-0.739640081280536</v>
      </c>
      <c r="N268" s="5">
        <v>-27.2054056730552</v>
      </c>
      <c r="O268" s="5">
        <v>-27.2054056730552</v>
      </c>
      <c r="P268" s="5">
        <v>-27.2054056730552</v>
      </c>
      <c r="Q268" s="5">
        <v>0.0</v>
      </c>
      <c r="R268" s="5">
        <v>0.0</v>
      </c>
      <c r="S268" s="5">
        <v>0.0</v>
      </c>
      <c r="T268" s="5">
        <v>44.4844473412008</v>
      </c>
    </row>
    <row r="269">
      <c r="A269" s="5">
        <v>267.0</v>
      </c>
      <c r="B269" s="6">
        <v>43969.0</v>
      </c>
      <c r="C269" s="5">
        <v>73.8681052745701</v>
      </c>
      <c r="D269" s="5">
        <v>4.20524464109412</v>
      </c>
      <c r="E269" s="5">
        <v>87.950417443526</v>
      </c>
      <c r="F269" s="5">
        <v>73.8681052745701</v>
      </c>
      <c r="G269" s="5">
        <v>73.8681052745701</v>
      </c>
      <c r="H269" s="5">
        <v>-27.6391782679717</v>
      </c>
      <c r="I269" s="5">
        <v>-27.6391782679717</v>
      </c>
      <c r="J269" s="5">
        <v>-27.6391782679717</v>
      </c>
      <c r="K269" s="5">
        <v>1.16457933344951</v>
      </c>
      <c r="L269" s="5">
        <v>1.16457933344951</v>
      </c>
      <c r="M269" s="5">
        <v>1.16457933344951</v>
      </c>
      <c r="N269" s="5">
        <v>-28.8037576014212</v>
      </c>
      <c r="O269" s="5">
        <v>-28.8037576014212</v>
      </c>
      <c r="P269" s="5">
        <v>-28.8037576014212</v>
      </c>
      <c r="Q269" s="5">
        <v>0.0</v>
      </c>
      <c r="R269" s="5">
        <v>0.0</v>
      </c>
      <c r="S269" s="5">
        <v>0.0</v>
      </c>
      <c r="T269" s="5">
        <v>46.2289270065983</v>
      </c>
    </row>
    <row r="270">
      <c r="A270" s="5">
        <v>268.0</v>
      </c>
      <c r="B270" s="6">
        <v>43970.0</v>
      </c>
      <c r="C270" s="5">
        <v>74.3476426675812</v>
      </c>
      <c r="D270" s="5">
        <v>6.86200701222052</v>
      </c>
      <c r="E270" s="5">
        <v>87.0129472285332</v>
      </c>
      <c r="F270" s="5">
        <v>74.3476426675812</v>
      </c>
      <c r="G270" s="5">
        <v>74.3476426675812</v>
      </c>
      <c r="H270" s="5">
        <v>-28.863667895916</v>
      </c>
      <c r="I270" s="5">
        <v>-28.863667895916</v>
      </c>
      <c r="J270" s="5">
        <v>-28.863667895916</v>
      </c>
      <c r="K270" s="5">
        <v>0.247324772137476</v>
      </c>
      <c r="L270" s="5">
        <v>0.247324772137476</v>
      </c>
      <c r="M270" s="5">
        <v>0.247324772137476</v>
      </c>
      <c r="N270" s="5">
        <v>-29.1109926680535</v>
      </c>
      <c r="O270" s="5">
        <v>-29.1109926680535</v>
      </c>
      <c r="P270" s="5">
        <v>-29.1109926680535</v>
      </c>
      <c r="Q270" s="5">
        <v>0.0</v>
      </c>
      <c r="R270" s="5">
        <v>0.0</v>
      </c>
      <c r="S270" s="5">
        <v>0.0</v>
      </c>
      <c r="T270" s="5">
        <v>45.4839747716651</v>
      </c>
    </row>
    <row r="271">
      <c r="A271" s="5">
        <v>269.0</v>
      </c>
      <c r="B271" s="6">
        <v>43971.0</v>
      </c>
      <c r="C271" s="5">
        <v>74.8271800605923</v>
      </c>
      <c r="D271" s="5">
        <v>7.99846373157152</v>
      </c>
      <c r="E271" s="5">
        <v>86.4163206450653</v>
      </c>
      <c r="F271" s="5">
        <v>74.8271800605923</v>
      </c>
      <c r="G271" s="5">
        <v>74.8271800605923</v>
      </c>
      <c r="H271" s="5">
        <v>-28.6849683725188</v>
      </c>
      <c r="I271" s="5">
        <v>-28.6849683725188</v>
      </c>
      <c r="J271" s="5">
        <v>-28.6849683725188</v>
      </c>
      <c r="K271" s="5">
        <v>0.608132553626351</v>
      </c>
      <c r="L271" s="5">
        <v>0.608132553626351</v>
      </c>
      <c r="M271" s="5">
        <v>0.608132553626351</v>
      </c>
      <c r="N271" s="5">
        <v>-29.2931009261451</v>
      </c>
      <c r="O271" s="5">
        <v>-29.2931009261451</v>
      </c>
      <c r="P271" s="5">
        <v>-29.2931009261451</v>
      </c>
      <c r="Q271" s="5">
        <v>0.0</v>
      </c>
      <c r="R271" s="5">
        <v>0.0</v>
      </c>
      <c r="S271" s="5">
        <v>0.0</v>
      </c>
      <c r="T271" s="5">
        <v>46.1422116880735</v>
      </c>
    </row>
    <row r="272">
      <c r="A272" s="5">
        <v>270.0</v>
      </c>
      <c r="B272" s="6">
        <v>43972.0</v>
      </c>
      <c r="C272" s="5">
        <v>75.3067174536035</v>
      </c>
      <c r="D272" s="5">
        <v>4.69790208921894</v>
      </c>
      <c r="E272" s="5">
        <v>87.8130994979118</v>
      </c>
      <c r="F272" s="5">
        <v>75.3067174536035</v>
      </c>
      <c r="G272" s="5">
        <v>75.3067174536035</v>
      </c>
      <c r="H272" s="5">
        <v>-29.5717149877739</v>
      </c>
      <c r="I272" s="5">
        <v>-29.5717149877739</v>
      </c>
      <c r="J272" s="5">
        <v>-29.5717149877739</v>
      </c>
      <c r="K272" s="5">
        <v>-0.225417905348949</v>
      </c>
      <c r="L272" s="5">
        <v>-0.225417905348949</v>
      </c>
      <c r="M272" s="5">
        <v>-0.225417905348949</v>
      </c>
      <c r="N272" s="5">
        <v>-29.3462970824249</v>
      </c>
      <c r="O272" s="5">
        <v>-29.3462970824249</v>
      </c>
      <c r="P272" s="5">
        <v>-29.3462970824249</v>
      </c>
      <c r="Q272" s="5">
        <v>0.0</v>
      </c>
      <c r="R272" s="5">
        <v>0.0</v>
      </c>
      <c r="S272" s="5">
        <v>0.0</v>
      </c>
      <c r="T272" s="5">
        <v>45.7350024658296</v>
      </c>
    </row>
    <row r="273">
      <c r="A273" s="5">
        <v>271.0</v>
      </c>
      <c r="B273" s="6">
        <v>43973.0</v>
      </c>
      <c r="C273" s="5">
        <v>75.7862548466147</v>
      </c>
      <c r="D273" s="5">
        <v>5.34832296395997</v>
      </c>
      <c r="E273" s="5">
        <v>86.1792227340089</v>
      </c>
      <c r="F273" s="5">
        <v>75.7862548466147</v>
      </c>
      <c r="G273" s="5">
        <v>75.7862548466147</v>
      </c>
      <c r="H273" s="5">
        <v>-30.0090151936883</v>
      </c>
      <c r="I273" s="5">
        <v>-30.0090151936883</v>
      </c>
      <c r="J273" s="5">
        <v>-30.0090151936883</v>
      </c>
      <c r="K273" s="5">
        <v>-0.739640081281692</v>
      </c>
      <c r="L273" s="5">
        <v>-0.739640081281692</v>
      </c>
      <c r="M273" s="5">
        <v>-0.739640081281692</v>
      </c>
      <c r="N273" s="5">
        <v>-29.2693751124066</v>
      </c>
      <c r="O273" s="5">
        <v>-29.2693751124066</v>
      </c>
      <c r="P273" s="5">
        <v>-29.2693751124066</v>
      </c>
      <c r="Q273" s="5">
        <v>0.0</v>
      </c>
      <c r="R273" s="5">
        <v>0.0</v>
      </c>
      <c r="S273" s="5">
        <v>0.0</v>
      </c>
      <c r="T273" s="5">
        <v>45.7772396529263</v>
      </c>
    </row>
    <row r="274">
      <c r="A274" s="5">
        <v>272.0</v>
      </c>
      <c r="B274" s="6">
        <v>43977.0</v>
      </c>
      <c r="C274" s="5">
        <v>77.7044044186593</v>
      </c>
      <c r="D274" s="5">
        <v>11.725380574318</v>
      </c>
      <c r="E274" s="5">
        <v>89.3159812953803</v>
      </c>
      <c r="F274" s="5">
        <v>77.7044044186593</v>
      </c>
      <c r="G274" s="5">
        <v>77.7044044186593</v>
      </c>
      <c r="H274" s="5">
        <v>-27.4786098939781</v>
      </c>
      <c r="I274" s="5">
        <v>-27.4786098939781</v>
      </c>
      <c r="J274" s="5">
        <v>-27.4786098939781</v>
      </c>
      <c r="K274" s="5">
        <v>0.247324772137564</v>
      </c>
      <c r="L274" s="5">
        <v>0.247324772137564</v>
      </c>
      <c r="M274" s="5">
        <v>0.247324772137564</v>
      </c>
      <c r="N274" s="5">
        <v>-27.7259346661156</v>
      </c>
      <c r="O274" s="5">
        <v>-27.7259346661156</v>
      </c>
      <c r="P274" s="5">
        <v>-27.7259346661156</v>
      </c>
      <c r="Q274" s="5">
        <v>0.0</v>
      </c>
      <c r="R274" s="5">
        <v>0.0</v>
      </c>
      <c r="S274" s="5">
        <v>0.0</v>
      </c>
      <c r="T274" s="5">
        <v>50.2257945246811</v>
      </c>
    </row>
    <row r="275">
      <c r="A275" s="5">
        <v>273.0</v>
      </c>
      <c r="B275" s="6">
        <v>43978.0</v>
      </c>
      <c r="C275" s="5">
        <v>78.1839418116704</v>
      </c>
      <c r="D275" s="5">
        <v>11.7558612522605</v>
      </c>
      <c r="E275" s="5">
        <v>95.9545732549174</v>
      </c>
      <c r="F275" s="5">
        <v>78.1839418116704</v>
      </c>
      <c r="G275" s="5">
        <v>78.1839418116704</v>
      </c>
      <c r="H275" s="5">
        <v>-26.4601269109091</v>
      </c>
      <c r="I275" s="5">
        <v>-26.4601269109091</v>
      </c>
      <c r="J275" s="5">
        <v>-26.4601269109091</v>
      </c>
      <c r="K275" s="5">
        <v>0.608132553625462</v>
      </c>
      <c r="L275" s="5">
        <v>0.608132553625462</v>
      </c>
      <c r="M275" s="5">
        <v>0.608132553625462</v>
      </c>
      <c r="N275" s="5">
        <v>-27.0682594645346</v>
      </c>
      <c r="O275" s="5">
        <v>-27.0682594645346</v>
      </c>
      <c r="P275" s="5">
        <v>-27.0682594645346</v>
      </c>
      <c r="Q275" s="5">
        <v>0.0</v>
      </c>
      <c r="R275" s="5">
        <v>0.0</v>
      </c>
      <c r="S275" s="5">
        <v>0.0</v>
      </c>
      <c r="T275" s="5">
        <v>51.7238149007613</v>
      </c>
    </row>
    <row r="276">
      <c r="A276" s="5">
        <v>274.0</v>
      </c>
      <c r="B276" s="6">
        <v>43979.0</v>
      </c>
      <c r="C276" s="5">
        <v>78.6634792046816</v>
      </c>
      <c r="D276" s="5">
        <v>11.4914193091871</v>
      </c>
      <c r="E276" s="5">
        <v>88.5894658308629</v>
      </c>
      <c r="F276" s="5">
        <v>78.6634792046816</v>
      </c>
      <c r="G276" s="5">
        <v>78.6634792046816</v>
      </c>
      <c r="H276" s="5">
        <v>-26.5492563365408</v>
      </c>
      <c r="I276" s="5">
        <v>-26.5492563365408</v>
      </c>
      <c r="J276" s="5">
        <v>-26.5492563365408</v>
      </c>
      <c r="K276" s="5">
        <v>-0.225417905346602</v>
      </c>
      <c r="L276" s="5">
        <v>-0.225417905346602</v>
      </c>
      <c r="M276" s="5">
        <v>-0.225417905346602</v>
      </c>
      <c r="N276" s="5">
        <v>-26.3238384311942</v>
      </c>
      <c r="O276" s="5">
        <v>-26.3238384311942</v>
      </c>
      <c r="P276" s="5">
        <v>-26.3238384311942</v>
      </c>
      <c r="Q276" s="5">
        <v>0.0</v>
      </c>
      <c r="R276" s="5">
        <v>0.0</v>
      </c>
      <c r="S276" s="5">
        <v>0.0</v>
      </c>
      <c r="T276" s="5">
        <v>52.1142228681407</v>
      </c>
    </row>
    <row r="277">
      <c r="A277" s="5">
        <v>275.0</v>
      </c>
      <c r="B277" s="6">
        <v>43980.0</v>
      </c>
      <c r="C277" s="5">
        <v>79.1430165976927</v>
      </c>
      <c r="D277" s="5">
        <v>12.3542651389625</v>
      </c>
      <c r="E277" s="5">
        <v>95.1195617676021</v>
      </c>
      <c r="F277" s="5">
        <v>79.1430165976927</v>
      </c>
      <c r="G277" s="5">
        <v>79.1430165976927</v>
      </c>
      <c r="H277" s="5">
        <v>-26.2460553273465</v>
      </c>
      <c r="I277" s="5">
        <v>-26.2460553273465</v>
      </c>
      <c r="J277" s="5">
        <v>-26.2460553273465</v>
      </c>
      <c r="K277" s="5">
        <v>-0.739640081280786</v>
      </c>
      <c r="L277" s="5">
        <v>-0.739640081280786</v>
      </c>
      <c r="M277" s="5">
        <v>-0.739640081280786</v>
      </c>
      <c r="N277" s="5">
        <v>-25.5064152460657</v>
      </c>
      <c r="O277" s="5">
        <v>-25.5064152460657</v>
      </c>
      <c r="P277" s="5">
        <v>-25.5064152460657</v>
      </c>
      <c r="Q277" s="5">
        <v>0.0</v>
      </c>
      <c r="R277" s="5">
        <v>0.0</v>
      </c>
      <c r="S277" s="5">
        <v>0.0</v>
      </c>
      <c r="T277" s="5">
        <v>52.8969612703462</v>
      </c>
    </row>
    <row r="278">
      <c r="A278" s="5">
        <v>276.0</v>
      </c>
      <c r="B278" s="6">
        <v>43983.0</v>
      </c>
      <c r="C278" s="5">
        <v>80.5816287767262</v>
      </c>
      <c r="D278" s="5">
        <v>17.1081501081786</v>
      </c>
      <c r="E278" s="5">
        <v>98.9548999238153</v>
      </c>
      <c r="F278" s="5">
        <v>80.5816287767262</v>
      </c>
      <c r="G278" s="5">
        <v>80.5816287767262</v>
      </c>
      <c r="H278" s="5">
        <v>-21.6017907335607</v>
      </c>
      <c r="I278" s="5">
        <v>-21.6017907335607</v>
      </c>
      <c r="J278" s="5">
        <v>-21.6017907335607</v>
      </c>
      <c r="K278" s="5">
        <v>1.16457933345018</v>
      </c>
      <c r="L278" s="5">
        <v>1.16457933345018</v>
      </c>
      <c r="M278" s="5">
        <v>1.16457933345018</v>
      </c>
      <c r="N278" s="5">
        <v>-22.7663700670109</v>
      </c>
      <c r="O278" s="5">
        <v>-22.7663700670109</v>
      </c>
      <c r="P278" s="5">
        <v>-22.7663700670109</v>
      </c>
      <c r="Q278" s="5">
        <v>0.0</v>
      </c>
      <c r="R278" s="5">
        <v>0.0</v>
      </c>
      <c r="S278" s="5">
        <v>0.0</v>
      </c>
      <c r="T278" s="5">
        <v>58.9798380431654</v>
      </c>
    </row>
    <row r="279">
      <c r="A279" s="5">
        <v>277.0</v>
      </c>
      <c r="B279" s="6">
        <v>43984.0</v>
      </c>
      <c r="C279" s="5">
        <v>81.0611661697373</v>
      </c>
      <c r="D279" s="5">
        <v>18.9476257258921</v>
      </c>
      <c r="E279" s="5">
        <v>100.93472352764</v>
      </c>
      <c r="F279" s="5">
        <v>81.0611661697373</v>
      </c>
      <c r="G279" s="5">
        <v>81.0611661697373</v>
      </c>
      <c r="H279" s="5">
        <v>-21.5613368245154</v>
      </c>
      <c r="I279" s="5">
        <v>-21.5613368245154</v>
      </c>
      <c r="J279" s="5">
        <v>-21.5613368245154</v>
      </c>
      <c r="K279" s="5">
        <v>0.247324772137652</v>
      </c>
      <c r="L279" s="5">
        <v>0.247324772137652</v>
      </c>
      <c r="M279" s="5">
        <v>0.247324772137652</v>
      </c>
      <c r="N279" s="5">
        <v>-21.8086615966531</v>
      </c>
      <c r="O279" s="5">
        <v>-21.8086615966531</v>
      </c>
      <c r="P279" s="5">
        <v>-21.8086615966531</v>
      </c>
      <c r="Q279" s="5">
        <v>0.0</v>
      </c>
      <c r="R279" s="5">
        <v>0.0</v>
      </c>
      <c r="S279" s="5">
        <v>0.0</v>
      </c>
      <c r="T279" s="5">
        <v>59.4998293452218</v>
      </c>
    </row>
    <row r="280">
      <c r="A280" s="5">
        <v>278.0</v>
      </c>
      <c r="B280" s="6">
        <v>43985.0</v>
      </c>
      <c r="C280" s="5">
        <v>81.5407035627485</v>
      </c>
      <c r="D280" s="5">
        <v>21.1553005522743</v>
      </c>
      <c r="E280" s="5">
        <v>102.240232483537</v>
      </c>
      <c r="F280" s="5">
        <v>81.5407035627485</v>
      </c>
      <c r="G280" s="5">
        <v>81.5407035627485</v>
      </c>
      <c r="H280" s="5">
        <v>-20.2457713054539</v>
      </c>
      <c r="I280" s="5">
        <v>-20.2457713054539</v>
      </c>
      <c r="J280" s="5">
        <v>-20.2457713054539</v>
      </c>
      <c r="K280" s="5">
        <v>0.60813255362724</v>
      </c>
      <c r="L280" s="5">
        <v>0.60813255362724</v>
      </c>
      <c r="M280" s="5">
        <v>0.60813255362724</v>
      </c>
      <c r="N280" s="5">
        <v>-20.8539038590811</v>
      </c>
      <c r="O280" s="5">
        <v>-20.8539038590811</v>
      </c>
      <c r="P280" s="5">
        <v>-20.8539038590811</v>
      </c>
      <c r="Q280" s="5">
        <v>0.0</v>
      </c>
      <c r="R280" s="5">
        <v>0.0</v>
      </c>
      <c r="S280" s="5">
        <v>0.0</v>
      </c>
      <c r="T280" s="5">
        <v>61.2949322572946</v>
      </c>
    </row>
    <row r="281">
      <c r="A281" s="5">
        <v>279.0</v>
      </c>
      <c r="B281" s="6">
        <v>43986.0</v>
      </c>
      <c r="C281" s="5">
        <v>82.0202409557596</v>
      </c>
      <c r="D281" s="5">
        <v>21.5198528918367</v>
      </c>
      <c r="E281" s="5">
        <v>101.306913346608</v>
      </c>
      <c r="F281" s="5">
        <v>82.0202409557596</v>
      </c>
      <c r="G281" s="5">
        <v>82.0202409557596</v>
      </c>
      <c r="H281" s="5">
        <v>-20.1414031695059</v>
      </c>
      <c r="I281" s="5">
        <v>-20.1414031695059</v>
      </c>
      <c r="J281" s="5">
        <v>-20.1414031695059</v>
      </c>
      <c r="K281" s="5">
        <v>-0.225417905346181</v>
      </c>
      <c r="L281" s="5">
        <v>-0.225417905346181</v>
      </c>
      <c r="M281" s="5">
        <v>-0.225417905346181</v>
      </c>
      <c r="N281" s="5">
        <v>-19.9159852641597</v>
      </c>
      <c r="O281" s="5">
        <v>-19.9159852641597</v>
      </c>
      <c r="P281" s="5">
        <v>-19.9159852641597</v>
      </c>
      <c r="Q281" s="5">
        <v>0.0</v>
      </c>
      <c r="R281" s="5">
        <v>0.0</v>
      </c>
      <c r="S281" s="5">
        <v>0.0</v>
      </c>
      <c r="T281" s="5">
        <v>61.8788377862537</v>
      </c>
    </row>
    <row r="282">
      <c r="A282" s="5">
        <v>280.0</v>
      </c>
      <c r="B282" s="6">
        <v>43987.0</v>
      </c>
      <c r="C282" s="5">
        <v>82.4997783487707</v>
      </c>
      <c r="D282" s="5">
        <v>23.7436279145705</v>
      </c>
      <c r="E282" s="5">
        <v>103.357804631098</v>
      </c>
      <c r="F282" s="5">
        <v>82.4997783487707</v>
      </c>
      <c r="G282" s="5">
        <v>82.4997783487707</v>
      </c>
      <c r="H282" s="5">
        <v>-19.7471590204312</v>
      </c>
      <c r="I282" s="5">
        <v>-19.7471590204312</v>
      </c>
      <c r="J282" s="5">
        <v>-19.7471590204312</v>
      </c>
      <c r="K282" s="5">
        <v>-0.73964008127851</v>
      </c>
      <c r="L282" s="5">
        <v>-0.73964008127851</v>
      </c>
      <c r="M282" s="5">
        <v>-0.73964008127851</v>
      </c>
      <c r="N282" s="5">
        <v>-19.0075189391527</v>
      </c>
      <c r="O282" s="5">
        <v>-19.0075189391527</v>
      </c>
      <c r="P282" s="5">
        <v>-19.0075189391527</v>
      </c>
      <c r="Q282" s="5">
        <v>0.0</v>
      </c>
      <c r="R282" s="5">
        <v>0.0</v>
      </c>
      <c r="S282" s="5">
        <v>0.0</v>
      </c>
      <c r="T282" s="5">
        <v>62.7526193283395</v>
      </c>
    </row>
    <row r="283">
      <c r="A283" s="5">
        <v>281.0</v>
      </c>
      <c r="B283" s="6">
        <v>43990.0</v>
      </c>
      <c r="C283" s="5">
        <v>83.9383905278042</v>
      </c>
      <c r="D283" s="5">
        <v>26.1868542746348</v>
      </c>
      <c r="E283" s="5">
        <v>107.484679476002</v>
      </c>
      <c r="F283" s="5">
        <v>83.9383905278042</v>
      </c>
      <c r="G283" s="5">
        <v>83.9383905278042</v>
      </c>
      <c r="H283" s="5">
        <v>-15.3954834667902</v>
      </c>
      <c r="I283" s="5">
        <v>-15.3954834667902</v>
      </c>
      <c r="J283" s="5">
        <v>-15.3954834667902</v>
      </c>
      <c r="K283" s="5">
        <v>1.16457933345042</v>
      </c>
      <c r="L283" s="5">
        <v>1.16457933345042</v>
      </c>
      <c r="M283" s="5">
        <v>1.16457933345042</v>
      </c>
      <c r="N283" s="5">
        <v>-16.5600628002406</v>
      </c>
      <c r="O283" s="5">
        <v>-16.5600628002406</v>
      </c>
      <c r="P283" s="5">
        <v>-16.5600628002406</v>
      </c>
      <c r="Q283" s="5">
        <v>0.0</v>
      </c>
      <c r="R283" s="5">
        <v>0.0</v>
      </c>
      <c r="S283" s="5">
        <v>0.0</v>
      </c>
      <c r="T283" s="5">
        <v>68.542907061014</v>
      </c>
    </row>
    <row r="284">
      <c r="A284" s="5">
        <v>282.0</v>
      </c>
      <c r="B284" s="6">
        <v>43991.0</v>
      </c>
      <c r="C284" s="5">
        <v>84.4179279208153</v>
      </c>
      <c r="D284" s="5">
        <v>29.5554695402207</v>
      </c>
      <c r="E284" s="5">
        <v>109.266905345554</v>
      </c>
      <c r="F284" s="5">
        <v>84.4179279208153</v>
      </c>
      <c r="G284" s="5">
        <v>84.4179279208153</v>
      </c>
      <c r="H284" s="5">
        <v>-15.6135786975115</v>
      </c>
      <c r="I284" s="5">
        <v>-15.6135786975115</v>
      </c>
      <c r="J284" s="5">
        <v>-15.6135786975115</v>
      </c>
      <c r="K284" s="5">
        <v>0.247324772139038</v>
      </c>
      <c r="L284" s="5">
        <v>0.247324772139038</v>
      </c>
      <c r="M284" s="5">
        <v>0.247324772139038</v>
      </c>
      <c r="N284" s="5">
        <v>-15.8609034696505</v>
      </c>
      <c r="O284" s="5">
        <v>-15.8609034696505</v>
      </c>
      <c r="P284" s="5">
        <v>-15.8609034696505</v>
      </c>
      <c r="Q284" s="5">
        <v>0.0</v>
      </c>
      <c r="R284" s="5">
        <v>0.0</v>
      </c>
      <c r="S284" s="5">
        <v>0.0</v>
      </c>
      <c r="T284" s="5">
        <v>68.8043492233038</v>
      </c>
    </row>
    <row r="285">
      <c r="A285" s="5">
        <v>283.0</v>
      </c>
      <c r="B285" s="6">
        <v>43992.0</v>
      </c>
      <c r="C285" s="5">
        <v>84.9446596601157</v>
      </c>
      <c r="D285" s="5">
        <v>32.390083308705</v>
      </c>
      <c r="E285" s="5">
        <v>106.069760742748</v>
      </c>
      <c r="F285" s="5">
        <v>84.9446596601157</v>
      </c>
      <c r="G285" s="5">
        <v>84.9446596601157</v>
      </c>
      <c r="H285" s="5">
        <v>-14.6186417008828</v>
      </c>
      <c r="I285" s="5">
        <v>-14.6186417008828</v>
      </c>
      <c r="J285" s="5">
        <v>-14.6186417008828</v>
      </c>
      <c r="K285" s="5">
        <v>0.608132553629019</v>
      </c>
      <c r="L285" s="5">
        <v>0.608132553629019</v>
      </c>
      <c r="M285" s="5">
        <v>0.608132553629019</v>
      </c>
      <c r="N285" s="5">
        <v>-15.2267742545118</v>
      </c>
      <c r="O285" s="5">
        <v>-15.2267742545118</v>
      </c>
      <c r="P285" s="5">
        <v>-15.2267742545118</v>
      </c>
      <c r="Q285" s="5">
        <v>0.0</v>
      </c>
      <c r="R285" s="5">
        <v>0.0</v>
      </c>
      <c r="S285" s="5">
        <v>0.0</v>
      </c>
      <c r="T285" s="5">
        <v>70.3260179592329</v>
      </c>
    </row>
    <row r="286">
      <c r="A286" s="5">
        <v>284.0</v>
      </c>
      <c r="B286" s="6">
        <v>43993.0</v>
      </c>
      <c r="C286" s="5">
        <v>85.471391399416</v>
      </c>
      <c r="D286" s="5">
        <v>29.1013361755814</v>
      </c>
      <c r="E286" s="5">
        <v>109.287562139675</v>
      </c>
      <c r="F286" s="5">
        <v>85.471391399416</v>
      </c>
      <c r="G286" s="5">
        <v>85.471391399416</v>
      </c>
      <c r="H286" s="5">
        <v>-14.8838406063696</v>
      </c>
      <c r="I286" s="5">
        <v>-14.8838406063696</v>
      </c>
      <c r="J286" s="5">
        <v>-14.8838406063696</v>
      </c>
      <c r="K286" s="5">
        <v>-0.225417905349146</v>
      </c>
      <c r="L286" s="5">
        <v>-0.225417905349146</v>
      </c>
      <c r="M286" s="5">
        <v>-0.225417905349146</v>
      </c>
      <c r="N286" s="5">
        <v>-14.6584227010204</v>
      </c>
      <c r="O286" s="5">
        <v>-14.6584227010204</v>
      </c>
      <c r="P286" s="5">
        <v>-14.6584227010204</v>
      </c>
      <c r="Q286" s="5">
        <v>0.0</v>
      </c>
      <c r="R286" s="5">
        <v>0.0</v>
      </c>
      <c r="S286" s="5">
        <v>0.0</v>
      </c>
      <c r="T286" s="5">
        <v>70.5875507930464</v>
      </c>
    </row>
    <row r="287">
      <c r="A287" s="5">
        <v>285.0</v>
      </c>
      <c r="B287" s="6">
        <v>43994.0</v>
      </c>
      <c r="C287" s="5">
        <v>85.9981231387163</v>
      </c>
      <c r="D287" s="5">
        <v>31.2596063727688</v>
      </c>
      <c r="E287" s="5">
        <v>112.346869615317</v>
      </c>
      <c r="F287" s="5">
        <v>85.9981231387163</v>
      </c>
      <c r="G287" s="5">
        <v>85.9981231387163</v>
      </c>
      <c r="H287" s="5">
        <v>-14.8941118661751</v>
      </c>
      <c r="I287" s="5">
        <v>-14.8941118661751</v>
      </c>
      <c r="J287" s="5">
        <v>-14.8941118661751</v>
      </c>
      <c r="K287" s="5">
        <v>-0.739640081283098</v>
      </c>
      <c r="L287" s="5">
        <v>-0.739640081283098</v>
      </c>
      <c r="M287" s="5">
        <v>-0.739640081283098</v>
      </c>
      <c r="N287" s="5">
        <v>-14.154471784892</v>
      </c>
      <c r="O287" s="5">
        <v>-14.154471784892</v>
      </c>
      <c r="P287" s="5">
        <v>-14.154471784892</v>
      </c>
      <c r="Q287" s="5">
        <v>0.0</v>
      </c>
      <c r="R287" s="5">
        <v>0.0</v>
      </c>
      <c r="S287" s="5">
        <v>0.0</v>
      </c>
      <c r="T287" s="5">
        <v>71.1040112725411</v>
      </c>
    </row>
    <row r="288">
      <c r="A288" s="5">
        <v>286.0</v>
      </c>
      <c r="B288" s="6">
        <v>43997.0</v>
      </c>
      <c r="C288" s="5">
        <v>87.5783183566173</v>
      </c>
      <c r="D288" s="5">
        <v>35.4076236641771</v>
      </c>
      <c r="E288" s="5">
        <v>116.441311826066</v>
      </c>
      <c r="F288" s="5">
        <v>87.5783183566173</v>
      </c>
      <c r="G288" s="5">
        <v>87.5783183566173</v>
      </c>
      <c r="H288" s="5">
        <v>-11.8217175757807</v>
      </c>
      <c r="I288" s="5">
        <v>-11.8217175757807</v>
      </c>
      <c r="J288" s="5">
        <v>-11.8217175757807</v>
      </c>
      <c r="K288" s="5">
        <v>1.16457933345075</v>
      </c>
      <c r="L288" s="5">
        <v>1.16457933345075</v>
      </c>
      <c r="M288" s="5">
        <v>1.16457933345075</v>
      </c>
      <c r="N288" s="5">
        <v>-12.9862969092314</v>
      </c>
      <c r="O288" s="5">
        <v>-12.9862969092314</v>
      </c>
      <c r="P288" s="5">
        <v>-12.9862969092314</v>
      </c>
      <c r="Q288" s="5">
        <v>0.0</v>
      </c>
      <c r="R288" s="5">
        <v>0.0</v>
      </c>
      <c r="S288" s="5">
        <v>0.0</v>
      </c>
      <c r="T288" s="5">
        <v>75.7566007808366</v>
      </c>
    </row>
    <row r="289">
      <c r="A289" s="5">
        <v>287.0</v>
      </c>
      <c r="B289" s="6">
        <v>43998.0</v>
      </c>
      <c r="C289" s="5">
        <v>88.1050500959176</v>
      </c>
      <c r="D289" s="5">
        <v>34.7292430465178</v>
      </c>
      <c r="E289" s="5">
        <v>111.704298385148</v>
      </c>
      <c r="F289" s="5">
        <v>88.1050500959176</v>
      </c>
      <c r="G289" s="5">
        <v>88.1050500959176</v>
      </c>
      <c r="H289" s="5">
        <v>-12.4416915955048</v>
      </c>
      <c r="I289" s="5">
        <v>-12.4416915955048</v>
      </c>
      <c r="J289" s="5">
        <v>-12.4416915955048</v>
      </c>
      <c r="K289" s="5">
        <v>0.247324772137703</v>
      </c>
      <c r="L289" s="5">
        <v>0.247324772137703</v>
      </c>
      <c r="M289" s="5">
        <v>0.247324772137703</v>
      </c>
      <c r="N289" s="5">
        <v>-12.6890163676426</v>
      </c>
      <c r="O289" s="5">
        <v>-12.6890163676426</v>
      </c>
      <c r="P289" s="5">
        <v>-12.6890163676426</v>
      </c>
      <c r="Q289" s="5">
        <v>0.0</v>
      </c>
      <c r="R289" s="5">
        <v>0.0</v>
      </c>
      <c r="S289" s="5">
        <v>0.0</v>
      </c>
      <c r="T289" s="5">
        <v>75.6633585004128</v>
      </c>
    </row>
    <row r="290">
      <c r="A290" s="5">
        <v>288.0</v>
      </c>
      <c r="B290" s="6">
        <v>43999.0</v>
      </c>
      <c r="C290" s="5">
        <v>88.6317818352179</v>
      </c>
      <c r="D290" s="5">
        <v>36.948194000333</v>
      </c>
      <c r="E290" s="5">
        <v>118.295376181016</v>
      </c>
      <c r="F290" s="5">
        <v>88.6317818352179</v>
      </c>
      <c r="G290" s="5">
        <v>88.6317818352179</v>
      </c>
      <c r="H290" s="5">
        <v>-11.815249111983</v>
      </c>
      <c r="I290" s="5">
        <v>-11.815249111983</v>
      </c>
      <c r="J290" s="5">
        <v>-11.815249111983</v>
      </c>
      <c r="K290" s="5">
        <v>0.608132553628129</v>
      </c>
      <c r="L290" s="5">
        <v>0.608132553628129</v>
      </c>
      <c r="M290" s="5">
        <v>0.608132553628129</v>
      </c>
      <c r="N290" s="5">
        <v>-12.4233816656111</v>
      </c>
      <c r="O290" s="5">
        <v>-12.4233816656111</v>
      </c>
      <c r="P290" s="5">
        <v>-12.4233816656111</v>
      </c>
      <c r="Q290" s="5">
        <v>0.0</v>
      </c>
      <c r="R290" s="5">
        <v>0.0</v>
      </c>
      <c r="S290" s="5">
        <v>0.0</v>
      </c>
      <c r="T290" s="5">
        <v>76.8165327232349</v>
      </c>
    </row>
    <row r="291">
      <c r="A291" s="5">
        <v>289.0</v>
      </c>
      <c r="B291" s="6">
        <v>44000.0</v>
      </c>
      <c r="C291" s="5">
        <v>89.1585135745183</v>
      </c>
      <c r="D291" s="5">
        <v>36.4657939859281</v>
      </c>
      <c r="E291" s="5">
        <v>117.943464235937</v>
      </c>
      <c r="F291" s="5">
        <v>89.1585135745183</v>
      </c>
      <c r="G291" s="5">
        <v>89.1585135745183</v>
      </c>
      <c r="H291" s="5">
        <v>-12.4048902941054</v>
      </c>
      <c r="I291" s="5">
        <v>-12.4048902941054</v>
      </c>
      <c r="J291" s="5">
        <v>-12.4048902941054</v>
      </c>
      <c r="K291" s="5">
        <v>-0.225417905348725</v>
      </c>
      <c r="L291" s="5">
        <v>-0.225417905348725</v>
      </c>
      <c r="M291" s="5">
        <v>-0.225417905348725</v>
      </c>
      <c r="N291" s="5">
        <v>-12.1794723887567</v>
      </c>
      <c r="O291" s="5">
        <v>-12.1794723887567</v>
      </c>
      <c r="P291" s="5">
        <v>-12.1794723887567</v>
      </c>
      <c r="Q291" s="5">
        <v>0.0</v>
      </c>
      <c r="R291" s="5">
        <v>0.0</v>
      </c>
      <c r="S291" s="5">
        <v>0.0</v>
      </c>
      <c r="T291" s="5">
        <v>76.7536232804128</v>
      </c>
    </row>
    <row r="292">
      <c r="A292" s="5">
        <v>290.0</v>
      </c>
      <c r="B292" s="6">
        <v>44001.0</v>
      </c>
      <c r="C292" s="5">
        <v>89.6852453138186</v>
      </c>
      <c r="D292" s="5">
        <v>36.6750031047539</v>
      </c>
      <c r="E292" s="5">
        <v>115.21170780663</v>
      </c>
      <c r="F292" s="5">
        <v>89.6852453138186</v>
      </c>
      <c r="G292" s="5">
        <v>89.6852453138186</v>
      </c>
      <c r="H292" s="5">
        <v>-12.6866178252068</v>
      </c>
      <c r="I292" s="5">
        <v>-12.6866178252068</v>
      </c>
      <c r="J292" s="5">
        <v>-12.6866178252068</v>
      </c>
      <c r="K292" s="5">
        <v>-0.739640081280821</v>
      </c>
      <c r="L292" s="5">
        <v>-0.739640081280821</v>
      </c>
      <c r="M292" s="5">
        <v>-0.739640081280821</v>
      </c>
      <c r="N292" s="5">
        <v>-11.946977743926</v>
      </c>
      <c r="O292" s="5">
        <v>-11.946977743926</v>
      </c>
      <c r="P292" s="5">
        <v>-11.946977743926</v>
      </c>
      <c r="Q292" s="5">
        <v>0.0</v>
      </c>
      <c r="R292" s="5">
        <v>0.0</v>
      </c>
      <c r="S292" s="5">
        <v>0.0</v>
      </c>
      <c r="T292" s="5">
        <v>76.9986274886117</v>
      </c>
    </row>
    <row r="293">
      <c r="A293" s="5">
        <v>291.0</v>
      </c>
      <c r="B293" s="6">
        <v>44004.0</v>
      </c>
      <c r="C293" s="5">
        <v>91.2654405317196</v>
      </c>
      <c r="D293" s="5">
        <v>38.3680331079304</v>
      </c>
      <c r="E293" s="5">
        <v>120.616342931095</v>
      </c>
      <c r="F293" s="5">
        <v>91.2654405317196</v>
      </c>
      <c r="G293" s="5">
        <v>91.2654405317196</v>
      </c>
      <c r="H293" s="5">
        <v>-10.0514343690291</v>
      </c>
      <c r="I293" s="5">
        <v>-10.0514343690291</v>
      </c>
      <c r="J293" s="5">
        <v>-10.0514343690291</v>
      </c>
      <c r="K293" s="5">
        <v>1.16457933345098</v>
      </c>
      <c r="L293" s="5">
        <v>1.16457933345098</v>
      </c>
      <c r="M293" s="5">
        <v>1.16457933345098</v>
      </c>
      <c r="N293" s="5">
        <v>-11.2160137024801</v>
      </c>
      <c r="O293" s="5">
        <v>-11.2160137024801</v>
      </c>
      <c r="P293" s="5">
        <v>-11.2160137024801</v>
      </c>
      <c r="Q293" s="5">
        <v>0.0</v>
      </c>
      <c r="R293" s="5">
        <v>0.0</v>
      </c>
      <c r="S293" s="5">
        <v>0.0</v>
      </c>
      <c r="T293" s="5">
        <v>81.2140061626904</v>
      </c>
    </row>
    <row r="294">
      <c r="A294" s="5">
        <v>292.0</v>
      </c>
      <c r="B294" s="6">
        <v>44005.0</v>
      </c>
      <c r="C294" s="5">
        <v>91.7921722710199</v>
      </c>
      <c r="D294" s="5">
        <v>42.8408712431791</v>
      </c>
      <c r="E294" s="5">
        <v>119.245832664368</v>
      </c>
      <c r="F294" s="5">
        <v>91.7921722710199</v>
      </c>
      <c r="G294" s="5">
        <v>91.7921722710199</v>
      </c>
      <c r="H294" s="5">
        <v>-10.6824809036483</v>
      </c>
      <c r="I294" s="5">
        <v>-10.6824809036483</v>
      </c>
      <c r="J294" s="5">
        <v>-10.6824809036483</v>
      </c>
      <c r="K294" s="5">
        <v>0.247324772139215</v>
      </c>
      <c r="L294" s="5">
        <v>0.247324772139215</v>
      </c>
      <c r="M294" s="5">
        <v>0.247324772139215</v>
      </c>
      <c r="N294" s="5">
        <v>-10.9298056757875</v>
      </c>
      <c r="O294" s="5">
        <v>-10.9298056757875</v>
      </c>
      <c r="P294" s="5">
        <v>-10.9298056757875</v>
      </c>
      <c r="Q294" s="5">
        <v>0.0</v>
      </c>
      <c r="R294" s="5">
        <v>0.0</v>
      </c>
      <c r="S294" s="5">
        <v>0.0</v>
      </c>
      <c r="T294" s="5">
        <v>81.1096913673716</v>
      </c>
    </row>
    <row r="295">
      <c r="A295" s="5">
        <v>293.0</v>
      </c>
      <c r="B295" s="6">
        <v>44006.0</v>
      </c>
      <c r="C295" s="5">
        <v>92.3189040103202</v>
      </c>
      <c r="D295" s="5">
        <v>41.1536207376173</v>
      </c>
      <c r="E295" s="5">
        <v>125.165305259834</v>
      </c>
      <c r="F295" s="5">
        <v>92.3189040103202</v>
      </c>
      <c r="G295" s="5">
        <v>92.3189040103202</v>
      </c>
      <c r="H295" s="5">
        <v>-10.0007854769397</v>
      </c>
      <c r="I295" s="5">
        <v>-10.0007854769397</v>
      </c>
      <c r="J295" s="5">
        <v>-10.0007854769397</v>
      </c>
      <c r="K295" s="5">
        <v>0.60813255362724</v>
      </c>
      <c r="L295" s="5">
        <v>0.60813255362724</v>
      </c>
      <c r="M295" s="5">
        <v>0.60813255362724</v>
      </c>
      <c r="N295" s="5">
        <v>-10.608918030567</v>
      </c>
      <c r="O295" s="5">
        <v>-10.608918030567</v>
      </c>
      <c r="P295" s="5">
        <v>-10.608918030567</v>
      </c>
      <c r="Q295" s="5">
        <v>0.0</v>
      </c>
      <c r="R295" s="5">
        <v>0.0</v>
      </c>
      <c r="S295" s="5">
        <v>0.0</v>
      </c>
      <c r="T295" s="5">
        <v>82.3181185333805</v>
      </c>
    </row>
    <row r="296">
      <c r="A296" s="5">
        <v>294.0</v>
      </c>
      <c r="B296" s="6">
        <v>44007.0</v>
      </c>
      <c r="C296" s="5">
        <v>92.8456357496205</v>
      </c>
      <c r="D296" s="5">
        <v>42.0839073604345</v>
      </c>
      <c r="E296" s="5">
        <v>121.8088217883</v>
      </c>
      <c r="F296" s="5">
        <v>92.8456357496205</v>
      </c>
      <c r="G296" s="5">
        <v>92.8456357496205</v>
      </c>
      <c r="H296" s="5">
        <v>-10.4726046434298</v>
      </c>
      <c r="I296" s="5">
        <v>-10.4726046434298</v>
      </c>
      <c r="J296" s="5">
        <v>-10.4726046434298</v>
      </c>
      <c r="K296" s="5">
        <v>-0.225417905346377</v>
      </c>
      <c r="L296" s="5">
        <v>-0.225417905346377</v>
      </c>
      <c r="M296" s="5">
        <v>-0.225417905346377</v>
      </c>
      <c r="N296" s="5">
        <v>-10.2471867380834</v>
      </c>
      <c r="O296" s="5">
        <v>-10.2471867380834</v>
      </c>
      <c r="P296" s="5">
        <v>-10.2471867380834</v>
      </c>
      <c r="Q296" s="5">
        <v>0.0</v>
      </c>
      <c r="R296" s="5">
        <v>0.0</v>
      </c>
      <c r="S296" s="5">
        <v>0.0</v>
      </c>
      <c r="T296" s="5">
        <v>82.3730311061907</v>
      </c>
    </row>
    <row r="297">
      <c r="A297" s="5">
        <v>295.0</v>
      </c>
      <c r="B297" s="6">
        <v>44008.0</v>
      </c>
      <c r="C297" s="5">
        <v>93.3723674889209</v>
      </c>
      <c r="D297" s="5">
        <v>41.4057127234962</v>
      </c>
      <c r="E297" s="5">
        <v>120.968341477327</v>
      </c>
      <c r="F297" s="5">
        <v>93.3723674889209</v>
      </c>
      <c r="G297" s="5">
        <v>93.3723674889209</v>
      </c>
      <c r="H297" s="5">
        <v>-10.5795945498899</v>
      </c>
      <c r="I297" s="5">
        <v>-10.5795945498899</v>
      </c>
      <c r="J297" s="5">
        <v>-10.5795945498899</v>
      </c>
      <c r="K297" s="5">
        <v>-0.739640081281977</v>
      </c>
      <c r="L297" s="5">
        <v>-0.739640081281977</v>
      </c>
      <c r="M297" s="5">
        <v>-0.739640081281977</v>
      </c>
      <c r="N297" s="5">
        <v>-9.83995446860797</v>
      </c>
      <c r="O297" s="5">
        <v>-9.83995446860797</v>
      </c>
      <c r="P297" s="5">
        <v>-9.83995446860797</v>
      </c>
      <c r="Q297" s="5">
        <v>0.0</v>
      </c>
      <c r="R297" s="5">
        <v>0.0</v>
      </c>
      <c r="S297" s="5">
        <v>0.0</v>
      </c>
      <c r="T297" s="5">
        <v>82.7927729390309</v>
      </c>
    </row>
    <row r="298">
      <c r="A298" s="5">
        <v>296.0</v>
      </c>
      <c r="B298" s="6">
        <v>44011.0</v>
      </c>
      <c r="C298" s="5">
        <v>94.9525627068218</v>
      </c>
      <c r="D298" s="5">
        <v>49.3815459711414</v>
      </c>
      <c r="E298" s="5">
        <v>128.156797810375</v>
      </c>
      <c r="F298" s="5">
        <v>94.9525627068218</v>
      </c>
      <c r="G298" s="5">
        <v>94.9525627068218</v>
      </c>
      <c r="H298" s="5">
        <v>-7.15879362738201</v>
      </c>
      <c r="I298" s="5">
        <v>-7.15879362738201</v>
      </c>
      <c r="J298" s="5">
        <v>-7.15879362738201</v>
      </c>
      <c r="K298" s="5">
        <v>1.16457933345132</v>
      </c>
      <c r="L298" s="5">
        <v>1.16457933345132</v>
      </c>
      <c r="M298" s="5">
        <v>1.16457933345132</v>
      </c>
      <c r="N298" s="5">
        <v>-8.32337296083334</v>
      </c>
      <c r="O298" s="5">
        <v>-8.32337296083334</v>
      </c>
      <c r="P298" s="5">
        <v>-8.32337296083334</v>
      </c>
      <c r="Q298" s="5">
        <v>0.0</v>
      </c>
      <c r="R298" s="5">
        <v>0.0</v>
      </c>
      <c r="S298" s="5">
        <v>0.0</v>
      </c>
      <c r="T298" s="5">
        <v>87.7937690794398</v>
      </c>
    </row>
    <row r="299">
      <c r="A299" s="5">
        <v>297.0</v>
      </c>
      <c r="B299" s="6">
        <v>44012.0</v>
      </c>
      <c r="C299" s="5">
        <v>95.4792944461222</v>
      </c>
      <c r="D299" s="5">
        <v>46.3517926626551</v>
      </c>
      <c r="E299" s="5">
        <v>129.688627156563</v>
      </c>
      <c r="F299" s="5">
        <v>95.4792944461222</v>
      </c>
      <c r="G299" s="5">
        <v>95.4792944461222</v>
      </c>
      <c r="H299" s="5">
        <v>-7.4733722430658</v>
      </c>
      <c r="I299" s="5">
        <v>-7.4733722430658</v>
      </c>
      <c r="J299" s="5">
        <v>-7.4733722430658</v>
      </c>
      <c r="K299" s="5">
        <v>0.24732477213788</v>
      </c>
      <c r="L299" s="5">
        <v>0.24732477213788</v>
      </c>
      <c r="M299" s="5">
        <v>0.24732477213788</v>
      </c>
      <c r="N299" s="5">
        <v>-7.72069701520368</v>
      </c>
      <c r="O299" s="5">
        <v>-7.72069701520368</v>
      </c>
      <c r="P299" s="5">
        <v>-7.72069701520368</v>
      </c>
      <c r="Q299" s="5">
        <v>0.0</v>
      </c>
      <c r="R299" s="5">
        <v>0.0</v>
      </c>
      <c r="S299" s="5">
        <v>0.0</v>
      </c>
      <c r="T299" s="5">
        <v>88.0059222030564</v>
      </c>
    </row>
    <row r="300">
      <c r="A300" s="5">
        <v>298.0</v>
      </c>
      <c r="B300" s="6">
        <v>44013.0</v>
      </c>
      <c r="C300" s="5">
        <v>96.0060261854225</v>
      </c>
      <c r="D300" s="5">
        <v>49.5221226797852</v>
      </c>
      <c r="E300" s="5">
        <v>128.528747669169</v>
      </c>
      <c r="F300" s="5">
        <v>96.0060261854225</v>
      </c>
      <c r="G300" s="5">
        <v>96.0060261854225</v>
      </c>
      <c r="H300" s="5">
        <v>-6.46596788610133</v>
      </c>
      <c r="I300" s="5">
        <v>-6.46596788610133</v>
      </c>
      <c r="J300" s="5">
        <v>-6.46596788610133</v>
      </c>
      <c r="K300" s="5">
        <v>0.608132553625236</v>
      </c>
      <c r="L300" s="5">
        <v>0.608132553625236</v>
      </c>
      <c r="M300" s="5">
        <v>0.608132553625236</v>
      </c>
      <c r="N300" s="5">
        <v>-7.07410043972657</v>
      </c>
      <c r="O300" s="5">
        <v>-7.07410043972657</v>
      </c>
      <c r="P300" s="5">
        <v>-7.07410043972657</v>
      </c>
      <c r="Q300" s="5">
        <v>0.0</v>
      </c>
      <c r="R300" s="5">
        <v>0.0</v>
      </c>
      <c r="S300" s="5">
        <v>0.0</v>
      </c>
      <c r="T300" s="5">
        <v>89.5400582993211</v>
      </c>
    </row>
    <row r="301">
      <c r="A301" s="5">
        <v>299.0</v>
      </c>
      <c r="B301" s="6">
        <v>44014.0</v>
      </c>
      <c r="C301" s="5">
        <v>96.5327579247228</v>
      </c>
      <c r="D301" s="5">
        <v>50.8435370336193</v>
      </c>
      <c r="E301" s="5">
        <v>132.348960056977</v>
      </c>
      <c r="F301" s="5">
        <v>96.5327579247228</v>
      </c>
      <c r="G301" s="5">
        <v>96.5327579247228</v>
      </c>
      <c r="H301" s="5">
        <v>-6.6140215426955</v>
      </c>
      <c r="I301" s="5">
        <v>-6.6140215426955</v>
      </c>
      <c r="J301" s="5">
        <v>-6.6140215426955</v>
      </c>
      <c r="K301" s="5">
        <v>-0.225417905345956</v>
      </c>
      <c r="L301" s="5">
        <v>-0.225417905345956</v>
      </c>
      <c r="M301" s="5">
        <v>-0.225417905345956</v>
      </c>
      <c r="N301" s="5">
        <v>-6.38860363734955</v>
      </c>
      <c r="O301" s="5">
        <v>-6.38860363734955</v>
      </c>
      <c r="P301" s="5">
        <v>-6.38860363734955</v>
      </c>
      <c r="Q301" s="5">
        <v>0.0</v>
      </c>
      <c r="R301" s="5">
        <v>0.0</v>
      </c>
      <c r="S301" s="5">
        <v>0.0</v>
      </c>
      <c r="T301" s="5">
        <v>89.9187363820273</v>
      </c>
    </row>
    <row r="302">
      <c r="A302" s="5">
        <v>300.0</v>
      </c>
      <c r="B302" s="6">
        <v>44018.0</v>
      </c>
      <c r="C302" s="5">
        <v>98.6396848819241</v>
      </c>
      <c r="D302" s="5">
        <v>56.5951277095735</v>
      </c>
      <c r="E302" s="5">
        <v>136.232092468851</v>
      </c>
      <c r="F302" s="5">
        <v>98.6396848819241</v>
      </c>
      <c r="G302" s="5">
        <v>98.6396848819241</v>
      </c>
      <c r="H302" s="5">
        <v>-2.23283762196007</v>
      </c>
      <c r="I302" s="5">
        <v>-2.23283762196007</v>
      </c>
      <c r="J302" s="5">
        <v>-2.23283762196007</v>
      </c>
      <c r="K302" s="5">
        <v>1.16457933344993</v>
      </c>
      <c r="L302" s="5">
        <v>1.16457933344993</v>
      </c>
      <c r="M302" s="5">
        <v>1.16457933344993</v>
      </c>
      <c r="N302" s="5">
        <v>-3.39741695541001</v>
      </c>
      <c r="O302" s="5">
        <v>-3.39741695541001</v>
      </c>
      <c r="P302" s="5">
        <v>-3.39741695541001</v>
      </c>
      <c r="Q302" s="5">
        <v>0.0</v>
      </c>
      <c r="R302" s="5">
        <v>0.0</v>
      </c>
      <c r="S302" s="5">
        <v>0.0</v>
      </c>
      <c r="T302" s="5">
        <v>96.406847259964</v>
      </c>
    </row>
    <row r="303">
      <c r="A303" s="5">
        <v>301.0</v>
      </c>
      <c r="B303" s="6">
        <v>44019.0</v>
      </c>
      <c r="C303" s="5">
        <v>99.1664166212244</v>
      </c>
      <c r="D303" s="5">
        <v>55.7962793139028</v>
      </c>
      <c r="E303" s="5">
        <v>136.993542832378</v>
      </c>
      <c r="F303" s="5">
        <v>99.1664166212244</v>
      </c>
      <c r="G303" s="5">
        <v>99.1664166212244</v>
      </c>
      <c r="H303" s="5">
        <v>-2.38151067867066</v>
      </c>
      <c r="I303" s="5">
        <v>-2.38151067867066</v>
      </c>
      <c r="J303" s="5">
        <v>-2.38151067867066</v>
      </c>
      <c r="K303" s="5">
        <v>0.247324772137968</v>
      </c>
      <c r="L303" s="5">
        <v>0.247324772137968</v>
      </c>
      <c r="M303" s="5">
        <v>0.247324772137968</v>
      </c>
      <c r="N303" s="5">
        <v>-2.62883545080863</v>
      </c>
      <c r="O303" s="5">
        <v>-2.62883545080863</v>
      </c>
      <c r="P303" s="5">
        <v>-2.62883545080863</v>
      </c>
      <c r="Q303" s="5">
        <v>0.0</v>
      </c>
      <c r="R303" s="5">
        <v>0.0</v>
      </c>
      <c r="S303" s="5">
        <v>0.0</v>
      </c>
      <c r="T303" s="5">
        <v>96.7849059425537</v>
      </c>
    </row>
    <row r="304">
      <c r="A304" s="5">
        <v>302.0</v>
      </c>
      <c r="B304" s="6">
        <v>44020.0</v>
      </c>
      <c r="C304" s="5">
        <v>99.6931483605247</v>
      </c>
      <c r="D304" s="5">
        <v>56.5994762657635</v>
      </c>
      <c r="E304" s="5">
        <v>138.754931298057</v>
      </c>
      <c r="F304" s="5">
        <v>99.6931483605247</v>
      </c>
      <c r="G304" s="5">
        <v>99.6931483605247</v>
      </c>
      <c r="H304" s="5">
        <v>-1.26158668509006</v>
      </c>
      <c r="I304" s="5">
        <v>-1.26158668509006</v>
      </c>
      <c r="J304" s="5">
        <v>-1.26158668509006</v>
      </c>
      <c r="K304" s="5">
        <v>0.608132553627015</v>
      </c>
      <c r="L304" s="5">
        <v>0.608132553627015</v>
      </c>
      <c r="M304" s="5">
        <v>0.608132553627015</v>
      </c>
      <c r="N304" s="5">
        <v>-1.86971923871707</v>
      </c>
      <c r="O304" s="5">
        <v>-1.86971923871707</v>
      </c>
      <c r="P304" s="5">
        <v>-1.86971923871707</v>
      </c>
      <c r="Q304" s="5">
        <v>0.0</v>
      </c>
      <c r="R304" s="5">
        <v>0.0</v>
      </c>
      <c r="S304" s="5">
        <v>0.0</v>
      </c>
      <c r="T304" s="5">
        <v>98.4315616754347</v>
      </c>
    </row>
    <row r="305">
      <c r="A305" s="5">
        <v>303.0</v>
      </c>
      <c r="B305" s="6">
        <v>44021.0</v>
      </c>
      <c r="C305" s="5">
        <v>100.219880099825</v>
      </c>
      <c r="D305" s="5">
        <v>58.8642262587242</v>
      </c>
      <c r="E305" s="5">
        <v>138.044873087833</v>
      </c>
      <c r="F305" s="5">
        <v>100.219880099825</v>
      </c>
      <c r="G305" s="5">
        <v>100.219880099825</v>
      </c>
      <c r="H305" s="5">
        <v>-1.35421711944606</v>
      </c>
      <c r="I305" s="5">
        <v>-1.35421711944606</v>
      </c>
      <c r="J305" s="5">
        <v>-1.35421711944606</v>
      </c>
      <c r="K305" s="5">
        <v>-0.225417905348921</v>
      </c>
      <c r="L305" s="5">
        <v>-0.225417905348921</v>
      </c>
      <c r="M305" s="5">
        <v>-0.225417905348921</v>
      </c>
      <c r="N305" s="5">
        <v>-1.12879921409714</v>
      </c>
      <c r="O305" s="5">
        <v>-1.12879921409714</v>
      </c>
      <c r="P305" s="5">
        <v>-1.12879921409714</v>
      </c>
      <c r="Q305" s="5">
        <v>0.0</v>
      </c>
      <c r="R305" s="5">
        <v>0.0</v>
      </c>
      <c r="S305" s="5">
        <v>0.0</v>
      </c>
      <c r="T305" s="5">
        <v>98.865662980379</v>
      </c>
    </row>
    <row r="306">
      <c r="A306" s="5">
        <v>304.0</v>
      </c>
      <c r="B306" s="6">
        <v>44022.0</v>
      </c>
      <c r="C306" s="5">
        <v>100.746611839125</v>
      </c>
      <c r="D306" s="5">
        <v>59.1128997088761</v>
      </c>
      <c r="E306" s="5">
        <v>138.874800454597</v>
      </c>
      <c r="F306" s="5">
        <v>100.746611839125</v>
      </c>
      <c r="G306" s="5">
        <v>100.746611839125</v>
      </c>
      <c r="H306" s="5">
        <v>-1.15394750746145</v>
      </c>
      <c r="I306" s="5">
        <v>-1.15394750746145</v>
      </c>
      <c r="J306" s="5">
        <v>-1.15394750746145</v>
      </c>
      <c r="K306" s="5">
        <v>-0.739640081280856</v>
      </c>
      <c r="L306" s="5">
        <v>-0.739640081280856</v>
      </c>
      <c r="M306" s="5">
        <v>-0.739640081280856</v>
      </c>
      <c r="N306" s="5">
        <v>-0.414307426180598</v>
      </c>
      <c r="O306" s="5">
        <v>-0.414307426180598</v>
      </c>
      <c r="P306" s="5">
        <v>-0.414307426180598</v>
      </c>
      <c r="Q306" s="5">
        <v>0.0</v>
      </c>
      <c r="R306" s="5">
        <v>0.0</v>
      </c>
      <c r="S306" s="5">
        <v>0.0</v>
      </c>
      <c r="T306" s="5">
        <v>99.5926643316639</v>
      </c>
    </row>
    <row r="307">
      <c r="A307" s="5">
        <v>305.0</v>
      </c>
      <c r="B307" s="6">
        <v>44025.0</v>
      </c>
      <c r="C307" s="5">
        <v>102.326807057026</v>
      </c>
      <c r="D307" s="5">
        <v>65.0523824365415</v>
      </c>
      <c r="E307" s="5">
        <v>143.596139630984</v>
      </c>
      <c r="F307" s="5">
        <v>102.326807057026</v>
      </c>
      <c r="G307" s="5">
        <v>102.326807057026</v>
      </c>
      <c r="H307" s="5">
        <v>2.66490664876536</v>
      </c>
      <c r="I307" s="5">
        <v>2.66490664876536</v>
      </c>
      <c r="J307" s="5">
        <v>2.66490664876536</v>
      </c>
      <c r="K307" s="5">
        <v>1.16457933345027</v>
      </c>
      <c r="L307" s="5">
        <v>1.16457933345027</v>
      </c>
      <c r="M307" s="5">
        <v>1.16457933345027</v>
      </c>
      <c r="N307" s="5">
        <v>1.50032731531509</v>
      </c>
      <c r="O307" s="5">
        <v>1.50032731531509</v>
      </c>
      <c r="P307" s="5">
        <v>1.50032731531509</v>
      </c>
      <c r="Q307" s="5">
        <v>0.0</v>
      </c>
      <c r="R307" s="5">
        <v>0.0</v>
      </c>
      <c r="S307" s="5">
        <v>0.0</v>
      </c>
      <c r="T307" s="5">
        <v>104.991713705791</v>
      </c>
    </row>
    <row r="308">
      <c r="A308" s="5">
        <v>306.0</v>
      </c>
      <c r="B308" s="6">
        <v>44026.0</v>
      </c>
      <c r="C308" s="5">
        <v>102.853538796326</v>
      </c>
      <c r="D308" s="5">
        <v>67.1268814681396</v>
      </c>
      <c r="E308" s="5">
        <v>144.21447702324</v>
      </c>
      <c r="F308" s="5">
        <v>102.853538796326</v>
      </c>
      <c r="G308" s="5">
        <v>102.853538796326</v>
      </c>
      <c r="H308" s="5">
        <v>2.29140467887736</v>
      </c>
      <c r="I308" s="5">
        <v>2.29140467887736</v>
      </c>
      <c r="J308" s="5">
        <v>2.29140467887736</v>
      </c>
      <c r="K308" s="5">
        <v>0.247324772136634</v>
      </c>
      <c r="L308" s="5">
        <v>0.247324772136634</v>
      </c>
      <c r="M308" s="5">
        <v>0.247324772136634</v>
      </c>
      <c r="N308" s="5">
        <v>2.04407990674073</v>
      </c>
      <c r="O308" s="5">
        <v>2.04407990674073</v>
      </c>
      <c r="P308" s="5">
        <v>2.04407990674073</v>
      </c>
      <c r="Q308" s="5">
        <v>0.0</v>
      </c>
      <c r="R308" s="5">
        <v>0.0</v>
      </c>
      <c r="S308" s="5">
        <v>0.0</v>
      </c>
      <c r="T308" s="5">
        <v>105.144943475204</v>
      </c>
    </row>
    <row r="309">
      <c r="A309" s="5">
        <v>307.0</v>
      </c>
      <c r="B309" s="6">
        <v>44027.0</v>
      </c>
      <c r="C309" s="5">
        <v>103.380270535627</v>
      </c>
      <c r="D309" s="5">
        <v>68.2748720145608</v>
      </c>
      <c r="E309" s="5">
        <v>143.700644536365</v>
      </c>
      <c r="F309" s="5">
        <v>103.380270535627</v>
      </c>
      <c r="G309" s="5">
        <v>103.380270535627</v>
      </c>
      <c r="H309" s="5">
        <v>3.1427083677941</v>
      </c>
      <c r="I309" s="5">
        <v>3.1427083677941</v>
      </c>
      <c r="J309" s="5">
        <v>3.1427083677941</v>
      </c>
      <c r="K309" s="5">
        <v>0.608132553626125</v>
      </c>
      <c r="L309" s="5">
        <v>0.608132553626125</v>
      </c>
      <c r="M309" s="5">
        <v>0.608132553626125</v>
      </c>
      <c r="N309" s="5">
        <v>2.53457581416798</v>
      </c>
      <c r="O309" s="5">
        <v>2.53457581416798</v>
      </c>
      <c r="P309" s="5">
        <v>2.53457581416798</v>
      </c>
      <c r="Q309" s="5">
        <v>0.0</v>
      </c>
      <c r="R309" s="5">
        <v>0.0</v>
      </c>
      <c r="S309" s="5">
        <v>0.0</v>
      </c>
      <c r="T309" s="5">
        <v>106.522978903421</v>
      </c>
    </row>
    <row r="310">
      <c r="A310" s="5">
        <v>308.0</v>
      </c>
      <c r="B310" s="6">
        <v>44028.0</v>
      </c>
      <c r="C310" s="5">
        <v>103.907002274927</v>
      </c>
      <c r="D310" s="5">
        <v>66.064390752679</v>
      </c>
      <c r="E310" s="5">
        <v>146.083787223507</v>
      </c>
      <c r="F310" s="5">
        <v>103.907002274927</v>
      </c>
      <c r="G310" s="5">
        <v>103.907002274927</v>
      </c>
      <c r="H310" s="5">
        <v>2.7447664763391</v>
      </c>
      <c r="I310" s="5">
        <v>2.7447664763391</v>
      </c>
      <c r="J310" s="5">
        <v>2.7447664763391</v>
      </c>
      <c r="K310" s="5">
        <v>-0.225417905345114</v>
      </c>
      <c r="L310" s="5">
        <v>-0.225417905345114</v>
      </c>
      <c r="M310" s="5">
        <v>-0.225417905345114</v>
      </c>
      <c r="N310" s="5">
        <v>2.97018438168421</v>
      </c>
      <c r="O310" s="5">
        <v>2.97018438168421</v>
      </c>
      <c r="P310" s="5">
        <v>2.97018438168421</v>
      </c>
      <c r="Q310" s="5">
        <v>0.0</v>
      </c>
      <c r="R310" s="5">
        <v>0.0</v>
      </c>
      <c r="S310" s="5">
        <v>0.0</v>
      </c>
      <c r="T310" s="5">
        <v>106.651768751266</v>
      </c>
    </row>
    <row r="311">
      <c r="A311" s="5">
        <v>309.0</v>
      </c>
      <c r="B311" s="6">
        <v>44029.0</v>
      </c>
      <c r="C311" s="5">
        <v>104.433734014227</v>
      </c>
      <c r="D311" s="5">
        <v>66.7968874198354</v>
      </c>
      <c r="E311" s="5">
        <v>148.498530925998</v>
      </c>
      <c r="F311" s="5">
        <v>104.433734014227</v>
      </c>
      <c r="G311" s="5">
        <v>104.433734014227</v>
      </c>
      <c r="H311" s="5">
        <v>2.61097751594104</v>
      </c>
      <c r="I311" s="5">
        <v>2.61097751594104</v>
      </c>
      <c r="J311" s="5">
        <v>2.61097751594104</v>
      </c>
      <c r="K311" s="5">
        <v>-0.73964008127995</v>
      </c>
      <c r="L311" s="5">
        <v>-0.73964008127995</v>
      </c>
      <c r="M311" s="5">
        <v>-0.73964008127995</v>
      </c>
      <c r="N311" s="5">
        <v>3.35061759722099</v>
      </c>
      <c r="O311" s="5">
        <v>3.35061759722099</v>
      </c>
      <c r="P311" s="5">
        <v>3.35061759722099</v>
      </c>
      <c r="Q311" s="5">
        <v>0.0</v>
      </c>
      <c r="R311" s="5">
        <v>0.0</v>
      </c>
      <c r="S311" s="5">
        <v>0.0</v>
      </c>
      <c r="T311" s="5">
        <v>107.044711530168</v>
      </c>
    </row>
    <row r="312">
      <c r="A312" s="5">
        <v>310.0</v>
      </c>
      <c r="B312" s="6">
        <v>44032.0</v>
      </c>
      <c r="C312" s="5">
        <v>106.013929232128</v>
      </c>
      <c r="D312" s="5">
        <v>67.5706840452673</v>
      </c>
      <c r="E312" s="5">
        <v>150.736646632246</v>
      </c>
      <c r="F312" s="5">
        <v>106.013929232128</v>
      </c>
      <c r="G312" s="5">
        <v>106.013929232128</v>
      </c>
      <c r="H312" s="5">
        <v>5.34153320827151</v>
      </c>
      <c r="I312" s="5">
        <v>5.34153320827151</v>
      </c>
      <c r="J312" s="5">
        <v>5.34153320827151</v>
      </c>
      <c r="K312" s="5">
        <v>1.1645793334505</v>
      </c>
      <c r="L312" s="5">
        <v>1.1645793334505</v>
      </c>
      <c r="M312" s="5">
        <v>1.1645793334505</v>
      </c>
      <c r="N312" s="5">
        <v>4.176953874821</v>
      </c>
      <c r="O312" s="5">
        <v>4.176953874821</v>
      </c>
      <c r="P312" s="5">
        <v>4.176953874821</v>
      </c>
      <c r="Q312" s="5">
        <v>0.0</v>
      </c>
      <c r="R312" s="5">
        <v>0.0</v>
      </c>
      <c r="S312" s="5">
        <v>0.0</v>
      </c>
      <c r="T312" s="5">
        <v>111.3554624404</v>
      </c>
    </row>
    <row r="313">
      <c r="A313" s="5">
        <v>311.0</v>
      </c>
      <c r="B313" s="6">
        <v>44033.0</v>
      </c>
      <c r="C313" s="5">
        <v>106.540660971428</v>
      </c>
      <c r="D313" s="5">
        <v>71.5522694167126</v>
      </c>
      <c r="E313" s="5">
        <v>154.050637701673</v>
      </c>
      <c r="F313" s="5">
        <v>106.540660971428</v>
      </c>
      <c r="G313" s="5">
        <v>106.540660971428</v>
      </c>
      <c r="H313" s="5">
        <v>4.60568575972723</v>
      </c>
      <c r="I313" s="5">
        <v>4.60568575972723</v>
      </c>
      <c r="J313" s="5">
        <v>4.60568575972723</v>
      </c>
      <c r="K313" s="5">
        <v>0.247324772136722</v>
      </c>
      <c r="L313" s="5">
        <v>0.247324772136722</v>
      </c>
      <c r="M313" s="5">
        <v>0.247324772136722</v>
      </c>
      <c r="N313" s="5">
        <v>4.3583609875905</v>
      </c>
      <c r="O313" s="5">
        <v>4.3583609875905</v>
      </c>
      <c r="P313" s="5">
        <v>4.3583609875905</v>
      </c>
      <c r="Q313" s="5">
        <v>0.0</v>
      </c>
      <c r="R313" s="5">
        <v>0.0</v>
      </c>
      <c r="S313" s="5">
        <v>0.0</v>
      </c>
      <c r="T313" s="5">
        <v>111.146346731156</v>
      </c>
    </row>
    <row r="314">
      <c r="A314" s="5">
        <v>312.0</v>
      </c>
      <c r="B314" s="6">
        <v>44034.0</v>
      </c>
      <c r="C314" s="5">
        <v>107.067392710729</v>
      </c>
      <c r="D314" s="5">
        <v>69.7252340308995</v>
      </c>
      <c r="E314" s="5">
        <v>152.441813586911</v>
      </c>
      <c r="F314" s="5">
        <v>107.067392710729</v>
      </c>
      <c r="G314" s="5">
        <v>107.067392710729</v>
      </c>
      <c r="H314" s="5">
        <v>5.10863574738728</v>
      </c>
      <c r="I314" s="5">
        <v>5.10863574738728</v>
      </c>
      <c r="J314" s="5">
        <v>5.10863574738728</v>
      </c>
      <c r="K314" s="5">
        <v>0.608132553629458</v>
      </c>
      <c r="L314" s="5">
        <v>0.608132553629458</v>
      </c>
      <c r="M314" s="5">
        <v>0.608132553629458</v>
      </c>
      <c r="N314" s="5">
        <v>4.50050319375782</v>
      </c>
      <c r="O314" s="5">
        <v>4.50050319375782</v>
      </c>
      <c r="P314" s="5">
        <v>4.50050319375782</v>
      </c>
      <c r="Q314" s="5">
        <v>0.0</v>
      </c>
      <c r="R314" s="5">
        <v>0.0</v>
      </c>
      <c r="S314" s="5">
        <v>0.0</v>
      </c>
      <c r="T314" s="5">
        <v>112.176028458116</v>
      </c>
    </row>
    <row r="315">
      <c r="A315" s="5">
        <v>313.0</v>
      </c>
      <c r="B315" s="6">
        <v>44035.0</v>
      </c>
      <c r="C315" s="5">
        <v>107.594124450029</v>
      </c>
      <c r="D315" s="5">
        <v>71.4904286334341</v>
      </c>
      <c r="E315" s="5">
        <v>153.107998077433</v>
      </c>
      <c r="F315" s="5">
        <v>107.594124450029</v>
      </c>
      <c r="G315" s="5">
        <v>107.594124450029</v>
      </c>
      <c r="H315" s="5">
        <v>4.38360791617217</v>
      </c>
      <c r="I315" s="5">
        <v>4.38360791617217</v>
      </c>
      <c r="J315" s="5">
        <v>4.38360791617217</v>
      </c>
      <c r="K315" s="5">
        <v>-0.225417905348079</v>
      </c>
      <c r="L315" s="5">
        <v>-0.225417905348079</v>
      </c>
      <c r="M315" s="5">
        <v>-0.225417905348079</v>
      </c>
      <c r="N315" s="5">
        <v>4.60902582152025</v>
      </c>
      <c r="O315" s="5">
        <v>4.60902582152025</v>
      </c>
      <c r="P315" s="5">
        <v>4.60902582152025</v>
      </c>
      <c r="Q315" s="5">
        <v>0.0</v>
      </c>
      <c r="R315" s="5">
        <v>0.0</v>
      </c>
      <c r="S315" s="5">
        <v>0.0</v>
      </c>
      <c r="T315" s="5">
        <v>111.977732366201</v>
      </c>
    </row>
    <row r="316">
      <c r="A316" s="5">
        <v>314.0</v>
      </c>
      <c r="B316" s="6">
        <v>44036.0</v>
      </c>
      <c r="C316" s="5">
        <v>108.120856189329</v>
      </c>
      <c r="D316" s="5">
        <v>69.6912330921377</v>
      </c>
      <c r="E316" s="5">
        <v>150.717031975118</v>
      </c>
      <c r="F316" s="5">
        <v>108.120856189329</v>
      </c>
      <c r="G316" s="5">
        <v>108.120856189329</v>
      </c>
      <c r="H316" s="5">
        <v>3.95031739812294</v>
      </c>
      <c r="I316" s="5">
        <v>3.95031739812294</v>
      </c>
      <c r="J316" s="5">
        <v>3.95031739812294</v>
      </c>
      <c r="K316" s="5">
        <v>-0.739640081281105</v>
      </c>
      <c r="L316" s="5">
        <v>-0.739640081281105</v>
      </c>
      <c r="M316" s="5">
        <v>-0.739640081281105</v>
      </c>
      <c r="N316" s="5">
        <v>4.68995747940405</v>
      </c>
      <c r="O316" s="5">
        <v>4.68995747940405</v>
      </c>
      <c r="P316" s="5">
        <v>4.68995747940405</v>
      </c>
      <c r="Q316" s="5">
        <v>0.0</v>
      </c>
      <c r="R316" s="5">
        <v>0.0</v>
      </c>
      <c r="S316" s="5">
        <v>0.0</v>
      </c>
      <c r="T316" s="5">
        <v>112.071173587452</v>
      </c>
    </row>
    <row r="317">
      <c r="A317" s="5">
        <v>315.0</v>
      </c>
      <c r="B317" s="6">
        <v>44039.0</v>
      </c>
      <c r="C317" s="5">
        <v>109.70105140723</v>
      </c>
      <c r="D317" s="5">
        <v>74.64961565086</v>
      </c>
      <c r="E317" s="5">
        <v>155.381888164499</v>
      </c>
      <c r="F317" s="5">
        <v>109.70105140723</v>
      </c>
      <c r="G317" s="5">
        <v>109.70105140723</v>
      </c>
      <c r="H317" s="5">
        <v>5.99349743416781</v>
      </c>
      <c r="I317" s="5">
        <v>5.99349743416781</v>
      </c>
      <c r="J317" s="5">
        <v>5.99349743416781</v>
      </c>
      <c r="K317" s="5">
        <v>1.16457933345094</v>
      </c>
      <c r="L317" s="5">
        <v>1.16457933345094</v>
      </c>
      <c r="M317" s="5">
        <v>1.16457933345094</v>
      </c>
      <c r="N317" s="5">
        <v>4.82891810071686</v>
      </c>
      <c r="O317" s="5">
        <v>4.82891810071686</v>
      </c>
      <c r="P317" s="5">
        <v>4.82891810071686</v>
      </c>
      <c r="Q317" s="5">
        <v>0.0</v>
      </c>
      <c r="R317" s="5">
        <v>0.0</v>
      </c>
      <c r="S317" s="5">
        <v>0.0</v>
      </c>
      <c r="T317" s="5">
        <v>115.694548841398</v>
      </c>
    </row>
    <row r="318">
      <c r="A318" s="5">
        <v>316.0</v>
      </c>
      <c r="B318" s="6">
        <v>44040.0</v>
      </c>
      <c r="C318" s="5">
        <v>110.227783146531</v>
      </c>
      <c r="D318" s="5">
        <v>73.9920830012389</v>
      </c>
      <c r="E318" s="5">
        <v>158.637344302763</v>
      </c>
      <c r="F318" s="5">
        <v>110.227783146531</v>
      </c>
      <c r="G318" s="5">
        <v>110.227783146531</v>
      </c>
      <c r="H318" s="5">
        <v>5.10762157028979</v>
      </c>
      <c r="I318" s="5">
        <v>5.10762157028979</v>
      </c>
      <c r="J318" s="5">
        <v>5.10762157028979</v>
      </c>
      <c r="K318" s="5">
        <v>0.247324772139531</v>
      </c>
      <c r="L318" s="5">
        <v>0.247324772139531</v>
      </c>
      <c r="M318" s="5">
        <v>0.247324772139531</v>
      </c>
      <c r="N318" s="5">
        <v>4.86029679815026</v>
      </c>
      <c r="O318" s="5">
        <v>4.86029679815026</v>
      </c>
      <c r="P318" s="5">
        <v>4.86029679815026</v>
      </c>
      <c r="Q318" s="5">
        <v>0.0</v>
      </c>
      <c r="R318" s="5">
        <v>0.0</v>
      </c>
      <c r="S318" s="5">
        <v>0.0</v>
      </c>
      <c r="T318" s="5">
        <v>115.335404716821</v>
      </c>
    </row>
    <row r="319">
      <c r="A319" s="5">
        <v>317.0</v>
      </c>
      <c r="B319" s="6">
        <v>44041.0</v>
      </c>
      <c r="C319" s="5">
        <v>110.754514885831</v>
      </c>
      <c r="D319" s="5">
        <v>73.8976170937454</v>
      </c>
      <c r="E319" s="5">
        <v>155.949831319374</v>
      </c>
      <c r="F319" s="5">
        <v>110.754514885831</v>
      </c>
      <c r="G319" s="5">
        <v>110.754514885831</v>
      </c>
      <c r="H319" s="5">
        <v>5.50110652020692</v>
      </c>
      <c r="I319" s="5">
        <v>5.50110652020692</v>
      </c>
      <c r="J319" s="5">
        <v>5.50110652020692</v>
      </c>
      <c r="K319" s="5">
        <v>0.6081325536259</v>
      </c>
      <c r="L319" s="5">
        <v>0.6081325536259</v>
      </c>
      <c r="M319" s="5">
        <v>0.6081325536259</v>
      </c>
      <c r="N319" s="5">
        <v>4.89297396658102</v>
      </c>
      <c r="O319" s="5">
        <v>4.89297396658102</v>
      </c>
      <c r="P319" s="5">
        <v>4.89297396658102</v>
      </c>
      <c r="Q319" s="5">
        <v>0.0</v>
      </c>
      <c r="R319" s="5">
        <v>0.0</v>
      </c>
      <c r="S319" s="5">
        <v>0.0</v>
      </c>
      <c r="T319" s="5">
        <v>116.255621406038</v>
      </c>
    </row>
    <row r="320">
      <c r="A320" s="5">
        <v>318.0</v>
      </c>
      <c r="B320" s="6">
        <v>44042.0</v>
      </c>
      <c r="C320" s="5">
        <v>111.281246625131</v>
      </c>
      <c r="D320" s="5">
        <v>75.1968996875707</v>
      </c>
      <c r="E320" s="5">
        <v>156.367511423655</v>
      </c>
      <c r="F320" s="5">
        <v>111.281246625131</v>
      </c>
      <c r="G320" s="5">
        <v>111.281246625131</v>
      </c>
      <c r="H320" s="5">
        <v>4.70584867756661</v>
      </c>
      <c r="I320" s="5">
        <v>4.70584867756661</v>
      </c>
      <c r="J320" s="5">
        <v>4.70584867756661</v>
      </c>
      <c r="K320" s="5">
        <v>-0.225417905351044</v>
      </c>
      <c r="L320" s="5">
        <v>-0.225417905351044</v>
      </c>
      <c r="M320" s="5">
        <v>-0.225417905351044</v>
      </c>
      <c r="N320" s="5">
        <v>4.93126658291765</v>
      </c>
      <c r="O320" s="5">
        <v>4.93126658291765</v>
      </c>
      <c r="P320" s="5">
        <v>4.93126658291765</v>
      </c>
      <c r="Q320" s="5">
        <v>0.0</v>
      </c>
      <c r="R320" s="5">
        <v>0.0</v>
      </c>
      <c r="S320" s="5">
        <v>0.0</v>
      </c>
      <c r="T320" s="5">
        <v>115.987095302698</v>
      </c>
    </row>
    <row r="321">
      <c r="A321" s="5">
        <v>319.0</v>
      </c>
      <c r="B321" s="6">
        <v>44043.0</v>
      </c>
      <c r="C321" s="5">
        <v>111.807978364432</v>
      </c>
      <c r="D321" s="5">
        <v>75.9006689973454</v>
      </c>
      <c r="E321" s="5">
        <v>154.687605938673</v>
      </c>
      <c r="F321" s="5">
        <v>111.807978364432</v>
      </c>
      <c r="G321" s="5">
        <v>111.807978364432</v>
      </c>
      <c r="H321" s="5">
        <v>4.2390723587405</v>
      </c>
      <c r="I321" s="5">
        <v>4.2390723587405</v>
      </c>
      <c r="J321" s="5">
        <v>4.2390723587405</v>
      </c>
      <c r="K321" s="5">
        <v>-0.739640081278829</v>
      </c>
      <c r="L321" s="5">
        <v>-0.739640081278829</v>
      </c>
      <c r="M321" s="5">
        <v>-0.739640081278829</v>
      </c>
      <c r="N321" s="5">
        <v>4.97871244001933</v>
      </c>
      <c r="O321" s="5">
        <v>4.97871244001933</v>
      </c>
      <c r="P321" s="5">
        <v>4.97871244001933</v>
      </c>
      <c r="Q321" s="5">
        <v>0.0</v>
      </c>
      <c r="R321" s="5">
        <v>0.0</v>
      </c>
      <c r="S321" s="5">
        <v>0.0</v>
      </c>
      <c r="T321" s="5">
        <v>116.047050723172</v>
      </c>
    </row>
    <row r="322">
      <c r="A322" s="5">
        <v>320.0</v>
      </c>
      <c r="B322" s="6">
        <v>44046.0</v>
      </c>
      <c r="C322" s="5">
        <v>113.388173582333</v>
      </c>
      <c r="D322" s="5">
        <v>76.5873494439797</v>
      </c>
      <c r="E322" s="5">
        <v>159.186716205036</v>
      </c>
      <c r="F322" s="5">
        <v>113.388173582333</v>
      </c>
      <c r="G322" s="5">
        <v>113.388173582333</v>
      </c>
      <c r="H322" s="5">
        <v>6.36317248553588</v>
      </c>
      <c r="I322" s="5">
        <v>6.36317248553588</v>
      </c>
      <c r="J322" s="5">
        <v>6.36317248553588</v>
      </c>
      <c r="K322" s="5">
        <v>1.16457933345118</v>
      </c>
      <c r="L322" s="5">
        <v>1.16457933345118</v>
      </c>
      <c r="M322" s="5">
        <v>1.16457933345118</v>
      </c>
      <c r="N322" s="5">
        <v>5.19859315208469</v>
      </c>
      <c r="O322" s="5">
        <v>5.19859315208469</v>
      </c>
      <c r="P322" s="5">
        <v>5.19859315208469</v>
      </c>
      <c r="Q322" s="5">
        <v>0.0</v>
      </c>
      <c r="R322" s="5">
        <v>0.0</v>
      </c>
      <c r="S322" s="5">
        <v>0.0</v>
      </c>
      <c r="T322" s="5">
        <v>119.751346067869</v>
      </c>
    </row>
    <row r="323">
      <c r="A323" s="5">
        <v>321.0</v>
      </c>
      <c r="B323" s="6">
        <v>44047.0</v>
      </c>
      <c r="C323" s="5">
        <v>113.914905321633</v>
      </c>
      <c r="D323" s="5">
        <v>81.9129254278075</v>
      </c>
      <c r="E323" s="5">
        <v>160.511742093703</v>
      </c>
      <c r="F323" s="5">
        <v>113.914905321633</v>
      </c>
      <c r="G323" s="5">
        <v>113.914905321633</v>
      </c>
      <c r="H323" s="5">
        <v>5.54832379385351</v>
      </c>
      <c r="I323" s="5">
        <v>5.54832379385351</v>
      </c>
      <c r="J323" s="5">
        <v>5.54832379385351</v>
      </c>
      <c r="K323" s="5">
        <v>0.247324772139619</v>
      </c>
      <c r="L323" s="5">
        <v>0.247324772139619</v>
      </c>
      <c r="M323" s="5">
        <v>0.247324772139619</v>
      </c>
      <c r="N323" s="5">
        <v>5.30099902171389</v>
      </c>
      <c r="O323" s="5">
        <v>5.30099902171389</v>
      </c>
      <c r="P323" s="5">
        <v>5.30099902171389</v>
      </c>
      <c r="Q323" s="5">
        <v>0.0</v>
      </c>
      <c r="R323" s="5">
        <v>0.0</v>
      </c>
      <c r="S323" s="5">
        <v>0.0</v>
      </c>
      <c r="T323" s="5">
        <v>119.463229115487</v>
      </c>
    </row>
    <row r="324">
      <c r="A324" s="5">
        <v>322.0</v>
      </c>
      <c r="B324" s="6">
        <v>44048.0</v>
      </c>
      <c r="C324" s="5">
        <v>114.441637060933</v>
      </c>
      <c r="D324" s="5">
        <v>78.8458591331663</v>
      </c>
      <c r="E324" s="5">
        <v>160.098378338886</v>
      </c>
      <c r="F324" s="5">
        <v>114.441637060933</v>
      </c>
      <c r="G324" s="5">
        <v>114.441637060933</v>
      </c>
      <c r="H324" s="5">
        <v>6.02573539977691</v>
      </c>
      <c r="I324" s="5">
        <v>6.02573539977691</v>
      </c>
      <c r="J324" s="5">
        <v>6.02573539977691</v>
      </c>
      <c r="K324" s="5">
        <v>0.608132553627679</v>
      </c>
      <c r="L324" s="5">
        <v>0.608132553627679</v>
      </c>
      <c r="M324" s="5">
        <v>0.608132553627679</v>
      </c>
      <c r="N324" s="5">
        <v>5.41760284614923</v>
      </c>
      <c r="O324" s="5">
        <v>5.41760284614923</v>
      </c>
      <c r="P324" s="5">
        <v>5.41760284614923</v>
      </c>
      <c r="Q324" s="5">
        <v>0.0</v>
      </c>
      <c r="R324" s="5">
        <v>0.0</v>
      </c>
      <c r="S324" s="5">
        <v>0.0</v>
      </c>
      <c r="T324" s="5">
        <v>120.46737246071</v>
      </c>
    </row>
    <row r="325">
      <c r="A325" s="5">
        <v>323.0</v>
      </c>
      <c r="B325" s="6">
        <v>44049.0</v>
      </c>
      <c r="C325" s="5">
        <v>114.968373662025</v>
      </c>
      <c r="D325" s="5">
        <v>83.2777420946776</v>
      </c>
      <c r="E325" s="5">
        <v>162.132773094718</v>
      </c>
      <c r="F325" s="5">
        <v>114.968373662025</v>
      </c>
      <c r="G325" s="5">
        <v>114.968373662025</v>
      </c>
      <c r="H325" s="5">
        <v>5.32175410575167</v>
      </c>
      <c r="I325" s="5">
        <v>5.32175410575167</v>
      </c>
      <c r="J325" s="5">
        <v>5.32175410575167</v>
      </c>
      <c r="K325" s="5">
        <v>-0.225417905350623</v>
      </c>
      <c r="L325" s="5">
        <v>-0.225417905350623</v>
      </c>
      <c r="M325" s="5">
        <v>-0.225417905350623</v>
      </c>
      <c r="N325" s="5">
        <v>5.54717201110229</v>
      </c>
      <c r="O325" s="5">
        <v>5.54717201110229</v>
      </c>
      <c r="P325" s="5">
        <v>5.54717201110229</v>
      </c>
      <c r="Q325" s="5">
        <v>0.0</v>
      </c>
      <c r="R325" s="5">
        <v>0.0</v>
      </c>
      <c r="S325" s="5">
        <v>0.0</v>
      </c>
      <c r="T325" s="5">
        <v>120.290127767776</v>
      </c>
    </row>
    <row r="326">
      <c r="A326" s="5">
        <v>324.0</v>
      </c>
      <c r="B326" s="6">
        <v>44050.0</v>
      </c>
      <c r="C326" s="5">
        <v>115.495110263116</v>
      </c>
      <c r="D326" s="5">
        <v>80.2705103639243</v>
      </c>
      <c r="E326" s="5">
        <v>160.774587071811</v>
      </c>
      <c r="F326" s="5">
        <v>115.495110263116</v>
      </c>
      <c r="G326" s="5">
        <v>115.495110263116</v>
      </c>
      <c r="H326" s="5">
        <v>4.9483226982667</v>
      </c>
      <c r="I326" s="5">
        <v>4.9483226982667</v>
      </c>
      <c r="J326" s="5">
        <v>4.9483226982667</v>
      </c>
      <c r="K326" s="5">
        <v>-0.739640081283417</v>
      </c>
      <c r="L326" s="5">
        <v>-0.739640081283417</v>
      </c>
      <c r="M326" s="5">
        <v>-0.739640081283417</v>
      </c>
      <c r="N326" s="5">
        <v>5.68796277955012</v>
      </c>
      <c r="O326" s="5">
        <v>5.68796277955012</v>
      </c>
      <c r="P326" s="5">
        <v>5.68796277955012</v>
      </c>
      <c r="Q326" s="5">
        <v>0.0</v>
      </c>
      <c r="R326" s="5">
        <v>0.0</v>
      </c>
      <c r="S326" s="5">
        <v>0.0</v>
      </c>
      <c r="T326" s="5">
        <v>120.443432961383</v>
      </c>
    </row>
    <row r="327">
      <c r="A327" s="5">
        <v>325.0</v>
      </c>
      <c r="B327" s="6">
        <v>44053.0</v>
      </c>
      <c r="C327" s="5">
        <v>117.07532006639</v>
      </c>
      <c r="D327" s="5">
        <v>83.9390591511871</v>
      </c>
      <c r="E327" s="5">
        <v>163.415564603866</v>
      </c>
      <c r="F327" s="5">
        <v>117.07532006639</v>
      </c>
      <c r="G327" s="5">
        <v>117.07532006639</v>
      </c>
      <c r="H327" s="5">
        <v>7.32029753587441</v>
      </c>
      <c r="I327" s="5">
        <v>7.32029753587441</v>
      </c>
      <c r="J327" s="5">
        <v>7.32029753587441</v>
      </c>
      <c r="K327" s="5">
        <v>1.16457933345141</v>
      </c>
      <c r="L327" s="5">
        <v>1.16457933345141</v>
      </c>
      <c r="M327" s="5">
        <v>1.16457933345141</v>
      </c>
      <c r="N327" s="5">
        <v>6.155718202423</v>
      </c>
      <c r="O327" s="5">
        <v>6.155718202423</v>
      </c>
      <c r="P327" s="5">
        <v>6.155718202423</v>
      </c>
      <c r="Q327" s="5">
        <v>0.0</v>
      </c>
      <c r="R327" s="5">
        <v>0.0</v>
      </c>
      <c r="S327" s="5">
        <v>0.0</v>
      </c>
      <c r="T327" s="5">
        <v>124.395617602264</v>
      </c>
    </row>
    <row r="328">
      <c r="A328" s="5">
        <v>326.0</v>
      </c>
      <c r="B328" s="6">
        <v>44054.0</v>
      </c>
      <c r="C328" s="5">
        <v>117.602056667481</v>
      </c>
      <c r="D328" s="5">
        <v>83.0720228867515</v>
      </c>
      <c r="E328" s="5">
        <v>163.411903539764</v>
      </c>
      <c r="F328" s="5">
        <v>117.602056667481</v>
      </c>
      <c r="G328" s="5">
        <v>117.602056667481</v>
      </c>
      <c r="H328" s="5">
        <v>6.56640582697397</v>
      </c>
      <c r="I328" s="5">
        <v>6.56640582697397</v>
      </c>
      <c r="J328" s="5">
        <v>6.56640582697397</v>
      </c>
      <c r="K328" s="5">
        <v>0.247324772138285</v>
      </c>
      <c r="L328" s="5">
        <v>0.247324772138285</v>
      </c>
      <c r="M328" s="5">
        <v>0.247324772138285</v>
      </c>
      <c r="N328" s="5">
        <v>6.31908105483569</v>
      </c>
      <c r="O328" s="5">
        <v>6.31908105483569</v>
      </c>
      <c r="P328" s="5">
        <v>6.31908105483569</v>
      </c>
      <c r="Q328" s="5">
        <v>0.0</v>
      </c>
      <c r="R328" s="5">
        <v>0.0</v>
      </c>
      <c r="S328" s="5">
        <v>0.0</v>
      </c>
      <c r="T328" s="5">
        <v>124.168462494455</v>
      </c>
    </row>
    <row r="329">
      <c r="A329" s="5">
        <v>327.0</v>
      </c>
      <c r="B329" s="6">
        <v>44055.0</v>
      </c>
      <c r="C329" s="5">
        <v>118.128793268572</v>
      </c>
      <c r="D329" s="5">
        <v>86.1757323644585</v>
      </c>
      <c r="E329" s="5">
        <v>167.520655739215</v>
      </c>
      <c r="F329" s="5">
        <v>118.128793268572</v>
      </c>
      <c r="G329" s="5">
        <v>118.128793268572</v>
      </c>
      <c r="H329" s="5">
        <v>7.09084196653898</v>
      </c>
      <c r="I329" s="5">
        <v>7.09084196653898</v>
      </c>
      <c r="J329" s="5">
        <v>7.09084196653898</v>
      </c>
      <c r="K329" s="5">
        <v>0.608132553626789</v>
      </c>
      <c r="L329" s="5">
        <v>0.608132553626789</v>
      </c>
      <c r="M329" s="5">
        <v>0.608132553626789</v>
      </c>
      <c r="N329" s="5">
        <v>6.48270941291219</v>
      </c>
      <c r="O329" s="5">
        <v>6.48270941291219</v>
      </c>
      <c r="P329" s="5">
        <v>6.48270941291219</v>
      </c>
      <c r="Q329" s="5">
        <v>0.0</v>
      </c>
      <c r="R329" s="5">
        <v>0.0</v>
      </c>
      <c r="S329" s="5">
        <v>0.0</v>
      </c>
      <c r="T329" s="5">
        <v>125.219635235111</v>
      </c>
    </row>
    <row r="330">
      <c r="A330" s="5">
        <v>328.0</v>
      </c>
      <c r="B330" s="6">
        <v>44056.0</v>
      </c>
      <c r="C330" s="5">
        <v>118.655529869663</v>
      </c>
      <c r="D330" s="5">
        <v>83.8257073918291</v>
      </c>
      <c r="E330" s="5">
        <v>167.041515324816</v>
      </c>
      <c r="F330" s="5">
        <v>118.655529869663</v>
      </c>
      <c r="G330" s="5">
        <v>118.655529869663</v>
      </c>
      <c r="H330" s="5">
        <v>6.41966034598425</v>
      </c>
      <c r="I330" s="5">
        <v>6.41966034598425</v>
      </c>
      <c r="J330" s="5">
        <v>6.41966034598425</v>
      </c>
      <c r="K330" s="5">
        <v>-0.225417905351661</v>
      </c>
      <c r="L330" s="5">
        <v>-0.225417905351661</v>
      </c>
      <c r="M330" s="5">
        <v>-0.225417905351661</v>
      </c>
      <c r="N330" s="5">
        <v>6.64507825133591</v>
      </c>
      <c r="O330" s="5">
        <v>6.64507825133591</v>
      </c>
      <c r="P330" s="5">
        <v>6.64507825133591</v>
      </c>
      <c r="Q330" s="5">
        <v>0.0</v>
      </c>
      <c r="R330" s="5">
        <v>0.0</v>
      </c>
      <c r="S330" s="5">
        <v>0.0</v>
      </c>
      <c r="T330" s="5">
        <v>125.075190215648</v>
      </c>
    </row>
    <row r="331">
      <c r="A331" s="5">
        <v>329.0</v>
      </c>
      <c r="B331" s="6">
        <v>44057.0</v>
      </c>
      <c r="C331" s="5">
        <v>119.182266470755</v>
      </c>
      <c r="D331" s="5">
        <v>86.2954482954159</v>
      </c>
      <c r="E331" s="5">
        <v>165.301877178568</v>
      </c>
      <c r="F331" s="5">
        <v>119.182266470755</v>
      </c>
      <c r="G331" s="5">
        <v>119.182266470755</v>
      </c>
      <c r="H331" s="5">
        <v>6.06556962817382</v>
      </c>
      <c r="I331" s="5">
        <v>6.06556962817382</v>
      </c>
      <c r="J331" s="5">
        <v>6.06556962817382</v>
      </c>
      <c r="K331" s="5">
        <v>-0.739640081279079</v>
      </c>
      <c r="L331" s="5">
        <v>-0.739640081279079</v>
      </c>
      <c r="M331" s="5">
        <v>-0.739640081279079</v>
      </c>
      <c r="N331" s="5">
        <v>6.80520970945289</v>
      </c>
      <c r="O331" s="5">
        <v>6.80520970945289</v>
      </c>
      <c r="P331" s="5">
        <v>6.80520970945289</v>
      </c>
      <c r="Q331" s="5">
        <v>0.0</v>
      </c>
      <c r="R331" s="5">
        <v>0.0</v>
      </c>
      <c r="S331" s="5">
        <v>0.0</v>
      </c>
      <c r="T331" s="5">
        <v>125.247836098928</v>
      </c>
    </row>
    <row r="332">
      <c r="A332" s="5">
        <v>330.0</v>
      </c>
      <c r="B332" s="6">
        <v>44060.0</v>
      </c>
      <c r="C332" s="5">
        <v>120.762476274028</v>
      </c>
      <c r="D332" s="5">
        <v>87.5624028235939</v>
      </c>
      <c r="E332" s="5">
        <v>170.00484312138</v>
      </c>
      <c r="F332" s="5">
        <v>120.762476274028</v>
      </c>
      <c r="G332" s="5">
        <v>120.762476274028</v>
      </c>
      <c r="H332" s="5">
        <v>8.43702689247593</v>
      </c>
      <c r="I332" s="5">
        <v>8.43702689247593</v>
      </c>
      <c r="J332" s="5">
        <v>8.43702689247593</v>
      </c>
      <c r="K332" s="5">
        <v>1.16457933345175</v>
      </c>
      <c r="L332" s="5">
        <v>1.16457933345175</v>
      </c>
      <c r="M332" s="5">
        <v>1.16457933345175</v>
      </c>
      <c r="N332" s="5">
        <v>7.27244755902418</v>
      </c>
      <c r="O332" s="5">
        <v>7.27244755902418</v>
      </c>
      <c r="P332" s="5">
        <v>7.27244755902418</v>
      </c>
      <c r="Q332" s="5">
        <v>0.0</v>
      </c>
      <c r="R332" s="5">
        <v>0.0</v>
      </c>
      <c r="S332" s="5">
        <v>0.0</v>
      </c>
      <c r="T332" s="5">
        <v>129.199503166504</v>
      </c>
    </row>
    <row r="333">
      <c r="A333" s="5">
        <v>331.0</v>
      </c>
      <c r="B333" s="6">
        <v>44061.0</v>
      </c>
      <c r="C333" s="5">
        <v>121.28921287512</v>
      </c>
      <c r="D333" s="5">
        <v>87.9427138292368</v>
      </c>
      <c r="E333" s="5">
        <v>169.160663825981</v>
      </c>
      <c r="F333" s="5">
        <v>121.28921287512</v>
      </c>
      <c r="G333" s="5">
        <v>121.28921287512</v>
      </c>
      <c r="H333" s="5">
        <v>7.67488854566303</v>
      </c>
      <c r="I333" s="5">
        <v>7.67488854566303</v>
      </c>
      <c r="J333" s="5">
        <v>7.67488854566303</v>
      </c>
      <c r="K333" s="5">
        <v>0.24732477213967</v>
      </c>
      <c r="L333" s="5">
        <v>0.24732477213967</v>
      </c>
      <c r="M333" s="5">
        <v>0.24732477213967</v>
      </c>
      <c r="N333" s="5">
        <v>7.42756377352335</v>
      </c>
      <c r="O333" s="5">
        <v>7.42756377352335</v>
      </c>
      <c r="P333" s="5">
        <v>7.42756377352335</v>
      </c>
      <c r="Q333" s="5">
        <v>0.0</v>
      </c>
      <c r="R333" s="5">
        <v>0.0</v>
      </c>
      <c r="S333" s="5">
        <v>0.0</v>
      </c>
      <c r="T333" s="5">
        <v>128.964101420783</v>
      </c>
    </row>
    <row r="334">
      <c r="A334" s="5">
        <v>332.0</v>
      </c>
      <c r="B334" s="6">
        <v>44062.0</v>
      </c>
      <c r="C334" s="5">
        <v>121.815949476211</v>
      </c>
      <c r="D334" s="5">
        <v>88.1550916289439</v>
      </c>
      <c r="E334" s="5">
        <v>173.373723852159</v>
      </c>
      <c r="F334" s="5">
        <v>121.815949476211</v>
      </c>
      <c r="G334" s="5">
        <v>121.815949476211</v>
      </c>
      <c r="H334" s="5">
        <v>8.19420509412986</v>
      </c>
      <c r="I334" s="5">
        <v>8.19420509412986</v>
      </c>
      <c r="J334" s="5">
        <v>8.19420509412986</v>
      </c>
      <c r="K334" s="5">
        <v>0.608132553625899</v>
      </c>
      <c r="L334" s="5">
        <v>0.608132553625899</v>
      </c>
      <c r="M334" s="5">
        <v>0.608132553625899</v>
      </c>
      <c r="N334" s="5">
        <v>7.58607254050395</v>
      </c>
      <c r="O334" s="5">
        <v>7.58607254050395</v>
      </c>
      <c r="P334" s="5">
        <v>7.58607254050395</v>
      </c>
      <c r="Q334" s="5">
        <v>0.0</v>
      </c>
      <c r="R334" s="5">
        <v>0.0</v>
      </c>
      <c r="S334" s="5">
        <v>0.0</v>
      </c>
      <c r="T334" s="5">
        <v>130.010154570341</v>
      </c>
    </row>
    <row r="335">
      <c r="A335" s="5">
        <v>333.0</v>
      </c>
      <c r="B335" s="6">
        <v>44063.0</v>
      </c>
      <c r="C335" s="5">
        <v>122.342686077302</v>
      </c>
      <c r="D335" s="5">
        <v>89.3083601771125</v>
      </c>
      <c r="E335" s="5">
        <v>168.701710684054</v>
      </c>
      <c r="F335" s="5">
        <v>122.342686077302</v>
      </c>
      <c r="G335" s="5">
        <v>122.342686077302</v>
      </c>
      <c r="H335" s="5">
        <v>7.52577501274926</v>
      </c>
      <c r="I335" s="5">
        <v>7.52577501274926</v>
      </c>
      <c r="J335" s="5">
        <v>7.52577501274926</v>
      </c>
      <c r="K335" s="5">
        <v>-0.225417905347855</v>
      </c>
      <c r="L335" s="5">
        <v>-0.225417905347855</v>
      </c>
      <c r="M335" s="5">
        <v>-0.225417905347855</v>
      </c>
      <c r="N335" s="5">
        <v>7.75119291809712</v>
      </c>
      <c r="O335" s="5">
        <v>7.75119291809712</v>
      </c>
      <c r="P335" s="5">
        <v>7.75119291809712</v>
      </c>
      <c r="Q335" s="5">
        <v>0.0</v>
      </c>
      <c r="R335" s="5">
        <v>0.0</v>
      </c>
      <c r="S335" s="5">
        <v>0.0</v>
      </c>
      <c r="T335" s="5">
        <v>129.868461090051</v>
      </c>
    </row>
    <row r="336">
      <c r="A336" s="5">
        <v>334.0</v>
      </c>
      <c r="B336" s="6">
        <v>44064.0</v>
      </c>
      <c r="C336" s="5">
        <v>122.869422678393</v>
      </c>
      <c r="D336" s="5">
        <v>91.9105619839882</v>
      </c>
      <c r="E336" s="5">
        <v>171.966826221988</v>
      </c>
      <c r="F336" s="5">
        <v>122.869422678393</v>
      </c>
      <c r="G336" s="5">
        <v>122.869422678393</v>
      </c>
      <c r="H336" s="5">
        <v>7.1870327005383</v>
      </c>
      <c r="I336" s="5">
        <v>7.1870327005383</v>
      </c>
      <c r="J336" s="5">
        <v>7.1870327005383</v>
      </c>
      <c r="K336" s="5">
        <v>-0.739640081283667</v>
      </c>
      <c r="L336" s="5">
        <v>-0.739640081283667</v>
      </c>
      <c r="M336" s="5">
        <v>-0.739640081283667</v>
      </c>
      <c r="N336" s="5">
        <v>7.92667278182196</v>
      </c>
      <c r="O336" s="5">
        <v>7.92667278182196</v>
      </c>
      <c r="P336" s="5">
        <v>7.92667278182196</v>
      </c>
      <c r="Q336" s="5">
        <v>0.0</v>
      </c>
      <c r="R336" s="5">
        <v>0.0</v>
      </c>
      <c r="S336" s="5">
        <v>0.0</v>
      </c>
      <c r="T336" s="5">
        <v>130.056455378932</v>
      </c>
    </row>
    <row r="337">
      <c r="A337" s="5">
        <v>335.0</v>
      </c>
      <c r="B337" s="6">
        <v>44067.0</v>
      </c>
      <c r="C337" s="5">
        <v>124.449632481667</v>
      </c>
      <c r="D337" s="5">
        <v>93.8374983048668</v>
      </c>
      <c r="E337" s="5">
        <v>172.273155228764</v>
      </c>
      <c r="F337" s="5">
        <v>124.449632481667</v>
      </c>
      <c r="G337" s="5">
        <v>124.449632481667</v>
      </c>
      <c r="H337" s="5">
        <v>9.72216476937607</v>
      </c>
      <c r="I337" s="5">
        <v>9.72216476937607</v>
      </c>
      <c r="J337" s="5">
        <v>9.72216476937607</v>
      </c>
      <c r="K337" s="5">
        <v>1.16457933345025</v>
      </c>
      <c r="L337" s="5">
        <v>1.16457933345025</v>
      </c>
      <c r="M337" s="5">
        <v>1.16457933345025</v>
      </c>
      <c r="N337" s="5">
        <v>8.55758543592581</v>
      </c>
      <c r="O337" s="5">
        <v>8.55758543592581</v>
      </c>
      <c r="P337" s="5">
        <v>8.55758543592581</v>
      </c>
      <c r="Q337" s="5">
        <v>0.0</v>
      </c>
      <c r="R337" s="5">
        <v>0.0</v>
      </c>
      <c r="S337" s="5">
        <v>0.0</v>
      </c>
      <c r="T337" s="5">
        <v>134.171797251043</v>
      </c>
    </row>
    <row r="338">
      <c r="A338" s="5">
        <v>336.0</v>
      </c>
      <c r="B338" s="6">
        <v>44068.0</v>
      </c>
      <c r="C338" s="5">
        <v>124.976369082758</v>
      </c>
      <c r="D338" s="5">
        <v>91.7687211287585</v>
      </c>
      <c r="E338" s="5">
        <v>172.634181393131</v>
      </c>
      <c r="F338" s="5">
        <v>124.976369082758</v>
      </c>
      <c r="G338" s="5">
        <v>124.976369082758</v>
      </c>
      <c r="H338" s="5">
        <v>9.06450226767458</v>
      </c>
      <c r="I338" s="5">
        <v>9.06450226767458</v>
      </c>
      <c r="J338" s="5">
        <v>9.06450226767458</v>
      </c>
      <c r="K338" s="5">
        <v>0.247324772138336</v>
      </c>
      <c r="L338" s="5">
        <v>0.247324772138336</v>
      </c>
      <c r="M338" s="5">
        <v>0.247324772138336</v>
      </c>
      <c r="N338" s="5">
        <v>8.81717749553624</v>
      </c>
      <c r="O338" s="5">
        <v>8.81717749553624</v>
      </c>
      <c r="P338" s="5">
        <v>8.81717749553624</v>
      </c>
      <c r="Q338" s="5">
        <v>0.0</v>
      </c>
      <c r="R338" s="5">
        <v>0.0</v>
      </c>
      <c r="S338" s="5">
        <v>0.0</v>
      </c>
      <c r="T338" s="5">
        <v>134.040871350433</v>
      </c>
    </row>
    <row r="339">
      <c r="A339" s="5">
        <v>337.0</v>
      </c>
      <c r="B339" s="6">
        <v>44069.0</v>
      </c>
      <c r="C339" s="5">
        <v>125.50310568385</v>
      </c>
      <c r="D339" s="5">
        <v>96.8892375079103</v>
      </c>
      <c r="E339" s="5">
        <v>176.947513445833</v>
      </c>
      <c r="F339" s="5">
        <v>125.50310568385</v>
      </c>
      <c r="G339" s="5">
        <v>125.50310568385</v>
      </c>
      <c r="H339" s="5">
        <v>9.71625414316357</v>
      </c>
      <c r="I339" s="5">
        <v>9.71625414316357</v>
      </c>
      <c r="J339" s="5">
        <v>9.71625414316357</v>
      </c>
      <c r="K339" s="5">
        <v>0.60813255362501</v>
      </c>
      <c r="L339" s="5">
        <v>0.60813255362501</v>
      </c>
      <c r="M339" s="5">
        <v>0.60813255362501</v>
      </c>
      <c r="N339" s="5">
        <v>9.10812158953856</v>
      </c>
      <c r="O339" s="5">
        <v>9.10812158953856</v>
      </c>
      <c r="P339" s="5">
        <v>9.10812158953856</v>
      </c>
      <c r="Q339" s="5">
        <v>0.0</v>
      </c>
      <c r="R339" s="5">
        <v>0.0</v>
      </c>
      <c r="S339" s="5">
        <v>0.0</v>
      </c>
      <c r="T339" s="5">
        <v>135.219359827013</v>
      </c>
    </row>
    <row r="340">
      <c r="A340" s="5">
        <v>338.0</v>
      </c>
      <c r="B340" s="6">
        <v>44070.0</v>
      </c>
      <c r="C340" s="5">
        <v>126.029842284941</v>
      </c>
      <c r="D340" s="5">
        <v>95.0584502193472</v>
      </c>
      <c r="E340" s="5">
        <v>176.794483431025</v>
      </c>
      <c r="F340" s="5">
        <v>126.029842284941</v>
      </c>
      <c r="G340" s="5">
        <v>126.029842284941</v>
      </c>
      <c r="H340" s="5">
        <v>9.20826845612026</v>
      </c>
      <c r="I340" s="5">
        <v>9.20826845612026</v>
      </c>
      <c r="J340" s="5">
        <v>9.20826845612026</v>
      </c>
      <c r="K340" s="5">
        <v>-0.22541790535082</v>
      </c>
      <c r="L340" s="5">
        <v>-0.22541790535082</v>
      </c>
      <c r="M340" s="5">
        <v>-0.22541790535082</v>
      </c>
      <c r="N340" s="5">
        <v>9.43368636147108</v>
      </c>
      <c r="O340" s="5">
        <v>9.43368636147108</v>
      </c>
      <c r="P340" s="5">
        <v>9.43368636147108</v>
      </c>
      <c r="Q340" s="5">
        <v>0.0</v>
      </c>
      <c r="R340" s="5">
        <v>0.0</v>
      </c>
      <c r="S340" s="5">
        <v>0.0</v>
      </c>
      <c r="T340" s="5">
        <v>135.238110741061</v>
      </c>
    </row>
    <row r="341">
      <c r="A341" s="5">
        <v>339.0</v>
      </c>
      <c r="B341" s="6">
        <v>44071.0</v>
      </c>
      <c r="C341" s="5">
        <v>126.556578886032</v>
      </c>
      <c r="D341" s="5">
        <v>95.5661110918993</v>
      </c>
      <c r="E341" s="5">
        <v>174.249887971212</v>
      </c>
      <c r="F341" s="5">
        <v>126.556578886032</v>
      </c>
      <c r="G341" s="5">
        <v>126.556578886032</v>
      </c>
      <c r="H341" s="5">
        <v>9.05670589919175</v>
      </c>
      <c r="I341" s="5">
        <v>9.05670589919175</v>
      </c>
      <c r="J341" s="5">
        <v>9.05670589919175</v>
      </c>
      <c r="K341" s="5">
        <v>-0.73964008128139</v>
      </c>
      <c r="L341" s="5">
        <v>-0.73964008128139</v>
      </c>
      <c r="M341" s="5">
        <v>-0.73964008128139</v>
      </c>
      <c r="N341" s="5">
        <v>9.79634598047314</v>
      </c>
      <c r="O341" s="5">
        <v>9.79634598047314</v>
      </c>
      <c r="P341" s="5">
        <v>9.79634598047314</v>
      </c>
      <c r="Q341" s="5">
        <v>0.0</v>
      </c>
      <c r="R341" s="5">
        <v>0.0</v>
      </c>
      <c r="S341" s="5">
        <v>0.0</v>
      </c>
      <c r="T341" s="5">
        <v>135.613284785224</v>
      </c>
    </row>
    <row r="342">
      <c r="A342" s="5">
        <v>340.0</v>
      </c>
      <c r="B342" s="6">
        <v>44074.0</v>
      </c>
      <c r="C342" s="5">
        <v>128.136788689306</v>
      </c>
      <c r="D342" s="5">
        <v>98.3606770755528</v>
      </c>
      <c r="E342" s="5">
        <v>179.898707506127</v>
      </c>
      <c r="F342" s="5">
        <v>128.136788689306</v>
      </c>
      <c r="G342" s="5">
        <v>128.136788689306</v>
      </c>
      <c r="H342" s="5">
        <v>12.2804471851708</v>
      </c>
      <c r="I342" s="5">
        <v>12.2804471851708</v>
      </c>
      <c r="J342" s="5">
        <v>12.2804471851708</v>
      </c>
      <c r="K342" s="5">
        <v>1.1645793334508</v>
      </c>
      <c r="L342" s="5">
        <v>1.1645793334508</v>
      </c>
      <c r="M342" s="5">
        <v>1.1645793334508</v>
      </c>
      <c r="N342" s="5">
        <v>11.11586785172</v>
      </c>
      <c r="O342" s="5">
        <v>11.11586785172</v>
      </c>
      <c r="P342" s="5">
        <v>11.11586785172</v>
      </c>
      <c r="Q342" s="5">
        <v>0.0</v>
      </c>
      <c r="R342" s="5">
        <v>0.0</v>
      </c>
      <c r="S342" s="5">
        <v>0.0</v>
      </c>
      <c r="T342" s="5">
        <v>140.417235874477</v>
      </c>
    </row>
    <row r="343">
      <c r="A343" s="5">
        <v>341.0</v>
      </c>
      <c r="B343" s="6">
        <v>44075.0</v>
      </c>
      <c r="C343" s="5">
        <v>128.663525290397</v>
      </c>
      <c r="D343" s="5">
        <v>99.8901717393145</v>
      </c>
      <c r="E343" s="5">
        <v>180.929258077915</v>
      </c>
      <c r="F343" s="5">
        <v>128.663525290397</v>
      </c>
      <c r="G343" s="5">
        <v>128.663525290397</v>
      </c>
      <c r="H343" s="5">
        <v>11.8769076273826</v>
      </c>
      <c r="I343" s="5">
        <v>11.8769076273826</v>
      </c>
      <c r="J343" s="5">
        <v>11.8769076273826</v>
      </c>
      <c r="K343" s="5">
        <v>0.247324772139847</v>
      </c>
      <c r="L343" s="5">
        <v>0.247324772139847</v>
      </c>
      <c r="M343" s="5">
        <v>0.247324772139847</v>
      </c>
      <c r="N343" s="5">
        <v>11.6295828552428</v>
      </c>
      <c r="O343" s="5">
        <v>11.6295828552428</v>
      </c>
      <c r="P343" s="5">
        <v>11.6295828552428</v>
      </c>
      <c r="Q343" s="5">
        <v>0.0</v>
      </c>
      <c r="R343" s="5">
        <v>0.0</v>
      </c>
      <c r="S343" s="5">
        <v>0.0</v>
      </c>
      <c r="T343" s="5">
        <v>140.54043291778</v>
      </c>
    </row>
    <row r="344">
      <c r="A344" s="5">
        <v>342.0</v>
      </c>
      <c r="B344" s="6">
        <v>44076.0</v>
      </c>
      <c r="C344" s="5">
        <v>129.190261891489</v>
      </c>
      <c r="D344" s="5">
        <v>101.519352515252</v>
      </c>
      <c r="E344" s="5">
        <v>182.795756826312</v>
      </c>
      <c r="F344" s="5">
        <v>129.190261891489</v>
      </c>
      <c r="G344" s="5">
        <v>129.190261891489</v>
      </c>
      <c r="H344" s="5">
        <v>12.7832033685302</v>
      </c>
      <c r="I344" s="5">
        <v>12.7832033685302</v>
      </c>
      <c r="J344" s="5">
        <v>12.7832033685302</v>
      </c>
      <c r="K344" s="5">
        <v>0.608132553626789</v>
      </c>
      <c r="L344" s="5">
        <v>0.608132553626789</v>
      </c>
      <c r="M344" s="5">
        <v>0.608132553626789</v>
      </c>
      <c r="N344" s="5">
        <v>12.1750708149035</v>
      </c>
      <c r="O344" s="5">
        <v>12.1750708149035</v>
      </c>
      <c r="P344" s="5">
        <v>12.1750708149035</v>
      </c>
      <c r="Q344" s="5">
        <v>0.0</v>
      </c>
      <c r="R344" s="5">
        <v>0.0</v>
      </c>
      <c r="S344" s="5">
        <v>0.0</v>
      </c>
      <c r="T344" s="5">
        <v>141.973465260019</v>
      </c>
    </row>
    <row r="345">
      <c r="A345" s="5">
        <v>343.0</v>
      </c>
      <c r="B345" s="6">
        <v>44077.0</v>
      </c>
      <c r="C345" s="5">
        <v>129.71699849258</v>
      </c>
      <c r="D345" s="5">
        <v>98.7177883470187</v>
      </c>
      <c r="E345" s="5">
        <v>181.330309296123</v>
      </c>
      <c r="F345" s="5">
        <v>129.71699849258</v>
      </c>
      <c r="G345" s="5">
        <v>129.71699849258</v>
      </c>
      <c r="H345" s="5">
        <v>12.5216057187752</v>
      </c>
      <c r="I345" s="5">
        <v>12.5216057187752</v>
      </c>
      <c r="J345" s="5">
        <v>12.5216057187752</v>
      </c>
      <c r="K345" s="5">
        <v>-0.225417905350399</v>
      </c>
      <c r="L345" s="5">
        <v>-0.225417905350399</v>
      </c>
      <c r="M345" s="5">
        <v>-0.225417905350399</v>
      </c>
      <c r="N345" s="5">
        <v>12.7470236241256</v>
      </c>
      <c r="O345" s="5">
        <v>12.7470236241256</v>
      </c>
      <c r="P345" s="5">
        <v>12.7470236241256</v>
      </c>
      <c r="Q345" s="5">
        <v>0.0</v>
      </c>
      <c r="R345" s="5">
        <v>0.0</v>
      </c>
      <c r="S345" s="5">
        <v>0.0</v>
      </c>
      <c r="T345" s="5">
        <v>142.238604211355</v>
      </c>
    </row>
    <row r="346">
      <c r="A346" s="5">
        <v>344.0</v>
      </c>
      <c r="B346" s="6">
        <v>44078.0</v>
      </c>
      <c r="C346" s="5">
        <v>130.243735093671</v>
      </c>
      <c r="D346" s="5">
        <v>101.754720960485</v>
      </c>
      <c r="E346" s="5">
        <v>186.802713882183</v>
      </c>
      <c r="F346" s="5">
        <v>130.243735093671</v>
      </c>
      <c r="G346" s="5">
        <v>130.243735093671</v>
      </c>
      <c r="H346" s="5">
        <v>12.5990364233134</v>
      </c>
      <c r="I346" s="5">
        <v>12.5990364233134</v>
      </c>
      <c r="J346" s="5">
        <v>12.5990364233134</v>
      </c>
      <c r="K346" s="5">
        <v>-0.739640081279113</v>
      </c>
      <c r="L346" s="5">
        <v>-0.739640081279113</v>
      </c>
      <c r="M346" s="5">
        <v>-0.739640081279113</v>
      </c>
      <c r="N346" s="5">
        <v>13.3386765045925</v>
      </c>
      <c r="O346" s="5">
        <v>13.3386765045925</v>
      </c>
      <c r="P346" s="5">
        <v>13.3386765045925</v>
      </c>
      <c r="Q346" s="5">
        <v>0.0</v>
      </c>
      <c r="R346" s="5">
        <v>0.0</v>
      </c>
      <c r="S346" s="5">
        <v>0.0</v>
      </c>
      <c r="T346" s="5">
        <v>142.842771516985</v>
      </c>
    </row>
    <row r="347">
      <c r="A347" s="5">
        <v>345.0</v>
      </c>
      <c r="B347" s="6">
        <v>44082.0</v>
      </c>
      <c r="C347" s="5">
        <v>132.350681498036</v>
      </c>
      <c r="D347" s="5">
        <v>106.848650167359</v>
      </c>
      <c r="E347" s="5">
        <v>188.416184960258</v>
      </c>
      <c r="F347" s="5">
        <v>132.350681498036</v>
      </c>
      <c r="G347" s="5">
        <v>132.350681498036</v>
      </c>
      <c r="H347" s="5">
        <v>15.968922985122</v>
      </c>
      <c r="I347" s="5">
        <v>15.968922985122</v>
      </c>
      <c r="J347" s="5">
        <v>15.968922985122</v>
      </c>
      <c r="K347" s="5">
        <v>0.247324772138512</v>
      </c>
      <c r="L347" s="5">
        <v>0.247324772138512</v>
      </c>
      <c r="M347" s="5">
        <v>0.247324772138512</v>
      </c>
      <c r="N347" s="5">
        <v>15.7215982129835</v>
      </c>
      <c r="O347" s="5">
        <v>15.7215982129835</v>
      </c>
      <c r="P347" s="5">
        <v>15.7215982129835</v>
      </c>
      <c r="Q347" s="5">
        <v>0.0</v>
      </c>
      <c r="R347" s="5">
        <v>0.0</v>
      </c>
      <c r="S347" s="5">
        <v>0.0</v>
      </c>
      <c r="T347" s="5">
        <v>148.319604483158</v>
      </c>
    </row>
    <row r="348">
      <c r="A348" s="5">
        <v>346.0</v>
      </c>
      <c r="B348" s="6">
        <v>44083.0</v>
      </c>
      <c r="C348" s="5">
        <v>132.877418099127</v>
      </c>
      <c r="D348" s="5">
        <v>110.368133936206</v>
      </c>
      <c r="E348" s="5">
        <v>194.204591452879</v>
      </c>
      <c r="F348" s="5">
        <v>132.877418099127</v>
      </c>
      <c r="G348" s="5">
        <v>132.877418099127</v>
      </c>
      <c r="H348" s="5">
        <v>16.8753873877249</v>
      </c>
      <c r="I348" s="5">
        <v>16.8753873877249</v>
      </c>
      <c r="J348" s="5">
        <v>16.8753873877249</v>
      </c>
      <c r="K348" s="5">
        <v>0.608132553627453</v>
      </c>
      <c r="L348" s="5">
        <v>0.608132553627453</v>
      </c>
      <c r="M348" s="5">
        <v>0.608132553627453</v>
      </c>
      <c r="N348" s="5">
        <v>16.2672548340974</v>
      </c>
      <c r="O348" s="5">
        <v>16.2672548340974</v>
      </c>
      <c r="P348" s="5">
        <v>16.2672548340974</v>
      </c>
      <c r="Q348" s="5">
        <v>0.0</v>
      </c>
      <c r="R348" s="5">
        <v>0.0</v>
      </c>
      <c r="S348" s="5">
        <v>0.0</v>
      </c>
      <c r="T348" s="5">
        <v>149.752805486852</v>
      </c>
    </row>
    <row r="349">
      <c r="A349" s="5">
        <v>347.0</v>
      </c>
      <c r="B349" s="6">
        <v>44084.0</v>
      </c>
      <c r="C349" s="5">
        <v>133.404154700219</v>
      </c>
      <c r="D349" s="5">
        <v>108.828049505205</v>
      </c>
      <c r="E349" s="5">
        <v>189.51202261086</v>
      </c>
      <c r="F349" s="5">
        <v>133.404154700219</v>
      </c>
      <c r="G349" s="5">
        <v>133.404154700219</v>
      </c>
      <c r="H349" s="5">
        <v>16.5435073710883</v>
      </c>
      <c r="I349" s="5">
        <v>16.5435073710883</v>
      </c>
      <c r="J349" s="5">
        <v>16.5435073710883</v>
      </c>
      <c r="K349" s="5">
        <v>-0.225417905348051</v>
      </c>
      <c r="L349" s="5">
        <v>-0.225417905348051</v>
      </c>
      <c r="M349" s="5">
        <v>-0.225417905348051</v>
      </c>
      <c r="N349" s="5">
        <v>16.7689252764363</v>
      </c>
      <c r="O349" s="5">
        <v>16.7689252764363</v>
      </c>
      <c r="P349" s="5">
        <v>16.7689252764363</v>
      </c>
      <c r="Q349" s="5">
        <v>0.0</v>
      </c>
      <c r="R349" s="5">
        <v>0.0</v>
      </c>
      <c r="S349" s="5">
        <v>0.0</v>
      </c>
      <c r="T349" s="5">
        <v>149.947662071307</v>
      </c>
    </row>
    <row r="350">
      <c r="A350" s="5">
        <v>348.0</v>
      </c>
      <c r="B350" s="6">
        <v>44085.0</v>
      </c>
      <c r="C350" s="5">
        <v>133.93089130131</v>
      </c>
      <c r="D350" s="5">
        <v>111.555133131654</v>
      </c>
      <c r="E350" s="5">
        <v>191.932475058474</v>
      </c>
      <c r="F350" s="5">
        <v>133.93089130131</v>
      </c>
      <c r="G350" s="5">
        <v>133.93089130131</v>
      </c>
      <c r="H350" s="5">
        <v>16.4746318517849</v>
      </c>
      <c r="I350" s="5">
        <v>16.4746318517849</v>
      </c>
      <c r="J350" s="5">
        <v>16.4746318517849</v>
      </c>
      <c r="K350" s="5">
        <v>-0.739640081283701</v>
      </c>
      <c r="L350" s="5">
        <v>-0.739640081283701</v>
      </c>
      <c r="M350" s="5">
        <v>-0.739640081283701</v>
      </c>
      <c r="N350" s="5">
        <v>17.2142719330686</v>
      </c>
      <c r="O350" s="5">
        <v>17.2142719330686</v>
      </c>
      <c r="P350" s="5">
        <v>17.2142719330686</v>
      </c>
      <c r="Q350" s="5">
        <v>0.0</v>
      </c>
      <c r="R350" s="5">
        <v>0.0</v>
      </c>
      <c r="S350" s="5">
        <v>0.0</v>
      </c>
      <c r="T350" s="5">
        <v>150.405523153095</v>
      </c>
    </row>
    <row r="351">
      <c r="A351" s="5">
        <v>349.0</v>
      </c>
      <c r="B351" s="6">
        <v>44088.0</v>
      </c>
      <c r="C351" s="5">
        <v>135.511101104584</v>
      </c>
      <c r="D351" s="5">
        <v>114.500281581691</v>
      </c>
      <c r="E351" s="5">
        <v>192.786149286455</v>
      </c>
      <c r="F351" s="5">
        <v>135.511101104584</v>
      </c>
      <c r="G351" s="5">
        <v>135.511101104584</v>
      </c>
      <c r="H351" s="5">
        <v>19.2600970149935</v>
      </c>
      <c r="I351" s="5">
        <v>19.2600970149935</v>
      </c>
      <c r="J351" s="5">
        <v>19.2600970149935</v>
      </c>
      <c r="K351" s="5">
        <v>1.16457933344965</v>
      </c>
      <c r="L351" s="5">
        <v>1.16457933344965</v>
      </c>
      <c r="M351" s="5">
        <v>1.16457933344965</v>
      </c>
      <c r="N351" s="5">
        <v>18.0955176815438</v>
      </c>
      <c r="O351" s="5">
        <v>18.0955176815438</v>
      </c>
      <c r="P351" s="5">
        <v>18.0955176815438</v>
      </c>
      <c r="Q351" s="5">
        <v>0.0</v>
      </c>
      <c r="R351" s="5">
        <v>0.0</v>
      </c>
      <c r="S351" s="5">
        <v>0.0</v>
      </c>
      <c r="T351" s="5">
        <v>154.771198119577</v>
      </c>
    </row>
    <row r="352">
      <c r="A352" s="5">
        <v>350.0</v>
      </c>
      <c r="B352" s="6">
        <v>44089.0</v>
      </c>
      <c r="C352" s="5">
        <v>136.037837705675</v>
      </c>
      <c r="D352" s="5">
        <v>115.90536530219</v>
      </c>
      <c r="E352" s="5">
        <v>197.071043754473</v>
      </c>
      <c r="F352" s="5">
        <v>136.037837705675</v>
      </c>
      <c r="G352" s="5">
        <v>136.037837705675</v>
      </c>
      <c r="H352" s="5">
        <v>18.4505339335846</v>
      </c>
      <c r="I352" s="5">
        <v>18.4505339335846</v>
      </c>
      <c r="J352" s="5">
        <v>18.4505339335846</v>
      </c>
      <c r="K352" s="5">
        <v>0.247324772137178</v>
      </c>
      <c r="L352" s="5">
        <v>0.247324772137178</v>
      </c>
      <c r="M352" s="5">
        <v>0.247324772137178</v>
      </c>
      <c r="N352" s="5">
        <v>18.2032091614474</v>
      </c>
      <c r="O352" s="5">
        <v>18.2032091614474</v>
      </c>
      <c r="P352" s="5">
        <v>18.2032091614474</v>
      </c>
      <c r="Q352" s="5">
        <v>0.0</v>
      </c>
      <c r="R352" s="5">
        <v>0.0</v>
      </c>
      <c r="S352" s="5">
        <v>0.0</v>
      </c>
      <c r="T352" s="5">
        <v>154.48837163926</v>
      </c>
    </row>
    <row r="353">
      <c r="A353" s="5">
        <v>351.0</v>
      </c>
      <c r="B353" s="6">
        <v>44090.0</v>
      </c>
      <c r="C353" s="5">
        <v>136.564574306766</v>
      </c>
      <c r="D353" s="5">
        <v>118.01480958283</v>
      </c>
      <c r="E353" s="5">
        <v>195.444802652429</v>
      </c>
      <c r="F353" s="5">
        <v>136.564574306766</v>
      </c>
      <c r="G353" s="5">
        <v>136.564574306766</v>
      </c>
      <c r="H353" s="5">
        <v>18.8121300990786</v>
      </c>
      <c r="I353" s="5">
        <v>18.8121300990786</v>
      </c>
      <c r="J353" s="5">
        <v>18.8121300990786</v>
      </c>
      <c r="K353" s="5">
        <v>0.608132553629232</v>
      </c>
      <c r="L353" s="5">
        <v>0.608132553629232</v>
      </c>
      <c r="M353" s="5">
        <v>0.608132553629232</v>
      </c>
      <c r="N353" s="5">
        <v>18.2039975454493</v>
      </c>
      <c r="O353" s="5">
        <v>18.2039975454493</v>
      </c>
      <c r="P353" s="5">
        <v>18.2039975454493</v>
      </c>
      <c r="Q353" s="5">
        <v>0.0</v>
      </c>
      <c r="R353" s="5">
        <v>0.0</v>
      </c>
      <c r="S353" s="5">
        <v>0.0</v>
      </c>
      <c r="T353" s="5">
        <v>155.376704405845</v>
      </c>
    </row>
    <row r="354">
      <c r="A354" s="5">
        <v>352.0</v>
      </c>
      <c r="B354" s="6">
        <v>44091.0</v>
      </c>
      <c r="C354" s="5">
        <v>137.091310907857</v>
      </c>
      <c r="D354" s="5">
        <v>117.447769573568</v>
      </c>
      <c r="E354" s="5">
        <v>193.703933780132</v>
      </c>
      <c r="F354" s="5">
        <v>137.091310907857</v>
      </c>
      <c r="G354" s="5">
        <v>137.091310907857</v>
      </c>
      <c r="H354" s="5">
        <v>17.8667545466989</v>
      </c>
      <c r="I354" s="5">
        <v>17.8667545466989</v>
      </c>
      <c r="J354" s="5">
        <v>17.8667545466989</v>
      </c>
      <c r="K354" s="5">
        <v>-0.22541790534763</v>
      </c>
      <c r="L354" s="5">
        <v>-0.22541790534763</v>
      </c>
      <c r="M354" s="5">
        <v>-0.22541790534763</v>
      </c>
      <c r="N354" s="5">
        <v>18.0921724520466</v>
      </c>
      <c r="O354" s="5">
        <v>18.0921724520466</v>
      </c>
      <c r="P354" s="5">
        <v>18.0921724520466</v>
      </c>
      <c r="Q354" s="5">
        <v>0.0</v>
      </c>
      <c r="R354" s="5">
        <v>0.0</v>
      </c>
      <c r="S354" s="5">
        <v>0.0</v>
      </c>
      <c r="T354" s="5">
        <v>154.958065454556</v>
      </c>
    </row>
    <row r="355">
      <c r="A355" s="5">
        <v>353.0</v>
      </c>
      <c r="B355" s="6">
        <v>44092.0</v>
      </c>
      <c r="C355" s="5">
        <v>137.618047508949</v>
      </c>
      <c r="D355" s="5">
        <v>114.982994040804</v>
      </c>
      <c r="E355" s="5">
        <v>195.296292840519</v>
      </c>
      <c r="F355" s="5">
        <v>137.618047508949</v>
      </c>
      <c r="G355" s="5">
        <v>137.618047508949</v>
      </c>
      <c r="H355" s="5">
        <v>17.1244625200035</v>
      </c>
      <c r="I355" s="5">
        <v>17.1244625200035</v>
      </c>
      <c r="J355" s="5">
        <v>17.1244625200035</v>
      </c>
      <c r="K355" s="5">
        <v>-0.739640081281424</v>
      </c>
      <c r="L355" s="5">
        <v>-0.739640081281424</v>
      </c>
      <c r="M355" s="5">
        <v>-0.739640081281424</v>
      </c>
      <c r="N355" s="5">
        <v>17.8641026012849</v>
      </c>
      <c r="O355" s="5">
        <v>17.8641026012849</v>
      </c>
      <c r="P355" s="5">
        <v>17.8641026012849</v>
      </c>
      <c r="Q355" s="5">
        <v>0.0</v>
      </c>
      <c r="R355" s="5">
        <v>0.0</v>
      </c>
      <c r="S355" s="5">
        <v>0.0</v>
      </c>
      <c r="T355" s="5">
        <v>154.742510028952</v>
      </c>
    </row>
    <row r="356">
      <c r="A356" s="5">
        <v>354.0</v>
      </c>
      <c r="B356" s="6">
        <v>44095.0</v>
      </c>
      <c r="C356" s="5">
        <v>139.198257312222</v>
      </c>
      <c r="D356" s="5">
        <v>118.382207939391</v>
      </c>
      <c r="E356" s="5">
        <v>196.945941804964</v>
      </c>
      <c r="F356" s="5">
        <v>139.198257312222</v>
      </c>
      <c r="G356" s="5">
        <v>139.198257312222</v>
      </c>
      <c r="H356" s="5">
        <v>17.6452728080361</v>
      </c>
      <c r="I356" s="5">
        <v>17.6452728080361</v>
      </c>
      <c r="J356" s="5">
        <v>17.6452728080361</v>
      </c>
      <c r="K356" s="5">
        <v>1.16457933344988</v>
      </c>
      <c r="L356" s="5">
        <v>1.16457933344988</v>
      </c>
      <c r="M356" s="5">
        <v>1.16457933344988</v>
      </c>
      <c r="N356" s="5">
        <v>16.4806934745862</v>
      </c>
      <c r="O356" s="5">
        <v>16.4806934745862</v>
      </c>
      <c r="P356" s="5">
        <v>16.4806934745862</v>
      </c>
      <c r="Q356" s="5">
        <v>0.0</v>
      </c>
      <c r="R356" s="5">
        <v>0.0</v>
      </c>
      <c r="S356" s="5">
        <v>0.0</v>
      </c>
      <c r="T356" s="5">
        <v>156.843530120259</v>
      </c>
    </row>
    <row r="357">
      <c r="A357" s="5">
        <v>355.0</v>
      </c>
      <c r="B357" s="6">
        <v>44096.0</v>
      </c>
      <c r="C357" s="5">
        <v>139.724993913314</v>
      </c>
      <c r="D357" s="5">
        <v>113.828250994212</v>
      </c>
      <c r="E357" s="5">
        <v>195.676552073742</v>
      </c>
      <c r="F357" s="5">
        <v>139.724993913314</v>
      </c>
      <c r="G357" s="5">
        <v>139.724993913314</v>
      </c>
      <c r="H357" s="5">
        <v>16.0453681427522</v>
      </c>
      <c r="I357" s="5">
        <v>16.0453681427522</v>
      </c>
      <c r="J357" s="5">
        <v>16.0453681427522</v>
      </c>
      <c r="K357" s="5">
        <v>0.247324772138689</v>
      </c>
      <c r="L357" s="5">
        <v>0.247324772138689</v>
      </c>
      <c r="M357" s="5">
        <v>0.247324772138689</v>
      </c>
      <c r="N357" s="5">
        <v>15.7980433706135</v>
      </c>
      <c r="O357" s="5">
        <v>15.7980433706135</v>
      </c>
      <c r="P357" s="5">
        <v>15.7980433706135</v>
      </c>
      <c r="Q357" s="5">
        <v>0.0</v>
      </c>
      <c r="R357" s="5">
        <v>0.0</v>
      </c>
      <c r="S357" s="5">
        <v>0.0</v>
      </c>
      <c r="T357" s="5">
        <v>155.770362056066</v>
      </c>
    </row>
    <row r="358">
      <c r="A358" s="5">
        <v>356.0</v>
      </c>
      <c r="B358" s="6">
        <v>44097.0</v>
      </c>
      <c r="C358" s="5">
        <v>140.251730514405</v>
      </c>
      <c r="D358" s="5">
        <v>120.074497928019</v>
      </c>
      <c r="E358" s="5">
        <v>195.098186080783</v>
      </c>
      <c r="F358" s="5">
        <v>140.251730514405</v>
      </c>
      <c r="G358" s="5">
        <v>140.251730514405</v>
      </c>
      <c r="H358" s="5">
        <v>15.6246236174027</v>
      </c>
      <c r="I358" s="5">
        <v>15.6246236174027</v>
      </c>
      <c r="J358" s="5">
        <v>15.6246236174027</v>
      </c>
      <c r="K358" s="5">
        <v>0.608132553625674</v>
      </c>
      <c r="L358" s="5">
        <v>0.608132553625674</v>
      </c>
      <c r="M358" s="5">
        <v>0.608132553625674</v>
      </c>
      <c r="N358" s="5">
        <v>15.016491063777</v>
      </c>
      <c r="O358" s="5">
        <v>15.016491063777</v>
      </c>
      <c r="P358" s="5">
        <v>15.016491063777</v>
      </c>
      <c r="Q358" s="5">
        <v>0.0</v>
      </c>
      <c r="R358" s="5">
        <v>0.0</v>
      </c>
      <c r="S358" s="5">
        <v>0.0</v>
      </c>
      <c r="T358" s="5">
        <v>155.876354131808</v>
      </c>
    </row>
    <row r="359">
      <c r="A359" s="5">
        <v>357.0</v>
      </c>
      <c r="B359" s="6">
        <v>44098.0</v>
      </c>
      <c r="C359" s="5">
        <v>140.778467115496</v>
      </c>
      <c r="D359" s="5">
        <v>117.353126465478</v>
      </c>
      <c r="E359" s="5">
        <v>195.684256021119</v>
      </c>
      <c r="F359" s="5">
        <v>140.778467115496</v>
      </c>
      <c r="G359" s="5">
        <v>140.778467115496</v>
      </c>
      <c r="H359" s="5">
        <v>13.9212073756388</v>
      </c>
      <c r="I359" s="5">
        <v>13.9212073756388</v>
      </c>
      <c r="J359" s="5">
        <v>13.9212073756388</v>
      </c>
      <c r="K359" s="5">
        <v>-0.225417905347209</v>
      </c>
      <c r="L359" s="5">
        <v>-0.225417905347209</v>
      </c>
      <c r="M359" s="5">
        <v>-0.225417905347209</v>
      </c>
      <c r="N359" s="5">
        <v>14.146625280986</v>
      </c>
      <c r="O359" s="5">
        <v>14.146625280986</v>
      </c>
      <c r="P359" s="5">
        <v>14.146625280986</v>
      </c>
      <c r="Q359" s="5">
        <v>0.0</v>
      </c>
      <c r="R359" s="5">
        <v>0.0</v>
      </c>
      <c r="S359" s="5">
        <v>0.0</v>
      </c>
      <c r="T359" s="5">
        <v>154.699674491135</v>
      </c>
    </row>
    <row r="360">
      <c r="A360" s="5">
        <v>358.0</v>
      </c>
      <c r="B360" s="6">
        <v>44099.0</v>
      </c>
      <c r="C360" s="5">
        <v>141.305203716587</v>
      </c>
      <c r="D360" s="5">
        <v>112.239322217365</v>
      </c>
      <c r="E360" s="5">
        <v>194.453596935061</v>
      </c>
      <c r="F360" s="5">
        <v>141.305203716587</v>
      </c>
      <c r="G360" s="5">
        <v>141.305203716587</v>
      </c>
      <c r="H360" s="5">
        <v>12.4614798171168</v>
      </c>
      <c r="I360" s="5">
        <v>12.4614798171168</v>
      </c>
      <c r="J360" s="5">
        <v>12.4614798171168</v>
      </c>
      <c r="K360" s="5">
        <v>-0.739640081280519</v>
      </c>
      <c r="L360" s="5">
        <v>-0.739640081280519</v>
      </c>
      <c r="M360" s="5">
        <v>-0.739640081280519</v>
      </c>
      <c r="N360" s="5">
        <v>13.2011198983973</v>
      </c>
      <c r="O360" s="5">
        <v>13.2011198983973</v>
      </c>
      <c r="P360" s="5">
        <v>13.2011198983973</v>
      </c>
      <c r="Q360" s="5">
        <v>0.0</v>
      </c>
      <c r="R360" s="5">
        <v>0.0</v>
      </c>
      <c r="S360" s="5">
        <v>0.0</v>
      </c>
      <c r="T360" s="5">
        <v>153.766683533704</v>
      </c>
    </row>
    <row r="361">
      <c r="A361" s="5">
        <v>359.0</v>
      </c>
      <c r="B361" s="6">
        <v>44102.0</v>
      </c>
      <c r="C361" s="5">
        <v>142.885413519861</v>
      </c>
      <c r="D361" s="5">
        <v>115.580866371478</v>
      </c>
      <c r="E361" s="5">
        <v>194.210076857</v>
      </c>
      <c r="F361" s="5">
        <v>142.885413519861</v>
      </c>
      <c r="G361" s="5">
        <v>142.885413519861</v>
      </c>
      <c r="H361" s="5">
        <v>11.2278439733112</v>
      </c>
      <c r="I361" s="5">
        <v>11.2278439733112</v>
      </c>
      <c r="J361" s="5">
        <v>11.2278439733112</v>
      </c>
      <c r="K361" s="5">
        <v>1.16457933345022</v>
      </c>
      <c r="L361" s="5">
        <v>1.16457933345022</v>
      </c>
      <c r="M361" s="5">
        <v>1.16457933345022</v>
      </c>
      <c r="N361" s="5">
        <v>10.063264639861</v>
      </c>
      <c r="O361" s="5">
        <v>10.063264639861</v>
      </c>
      <c r="P361" s="5">
        <v>10.063264639861</v>
      </c>
      <c r="Q361" s="5">
        <v>0.0</v>
      </c>
      <c r="R361" s="5">
        <v>0.0</v>
      </c>
      <c r="S361" s="5">
        <v>0.0</v>
      </c>
      <c r="T361" s="5">
        <v>154.113257493173</v>
      </c>
    </row>
    <row r="362">
      <c r="A362" s="5">
        <v>360.0</v>
      </c>
      <c r="B362" s="6">
        <v>44103.0</v>
      </c>
      <c r="C362" s="5">
        <v>143.412150120952</v>
      </c>
      <c r="D362" s="5">
        <v>112.876602737768</v>
      </c>
      <c r="E362" s="5">
        <v>192.022136520551</v>
      </c>
      <c r="F362" s="5">
        <v>143.412150120952</v>
      </c>
      <c r="G362" s="5">
        <v>143.412150120952</v>
      </c>
      <c r="H362" s="5">
        <v>9.22131464865373</v>
      </c>
      <c r="I362" s="5">
        <v>9.22131464865373</v>
      </c>
      <c r="J362" s="5">
        <v>9.22131464865373</v>
      </c>
      <c r="K362" s="5">
        <v>0.247324772137355</v>
      </c>
      <c r="L362" s="5">
        <v>0.247324772137355</v>
      </c>
      <c r="M362" s="5">
        <v>0.247324772137355</v>
      </c>
      <c r="N362" s="5">
        <v>8.97398987651638</v>
      </c>
      <c r="O362" s="5">
        <v>8.97398987651638</v>
      </c>
      <c r="P362" s="5">
        <v>8.97398987651638</v>
      </c>
      <c r="Q362" s="5">
        <v>0.0</v>
      </c>
      <c r="R362" s="5">
        <v>0.0</v>
      </c>
      <c r="S362" s="5">
        <v>0.0</v>
      </c>
      <c r="T362" s="5">
        <v>152.633464769606</v>
      </c>
    </row>
    <row r="363">
      <c r="A363" s="5">
        <v>361.0</v>
      </c>
      <c r="B363" s="6">
        <v>44104.0</v>
      </c>
      <c r="C363" s="5">
        <v>143.938886722044</v>
      </c>
      <c r="D363" s="5">
        <v>112.964553293495</v>
      </c>
      <c r="E363" s="5">
        <v>195.071193917938</v>
      </c>
      <c r="F363" s="5">
        <v>143.938886722044</v>
      </c>
      <c r="G363" s="5">
        <v>143.938886722044</v>
      </c>
      <c r="H363" s="5">
        <v>8.50156556213283</v>
      </c>
      <c r="I363" s="5">
        <v>8.50156556213283</v>
      </c>
      <c r="J363" s="5">
        <v>8.50156556213283</v>
      </c>
      <c r="K363" s="5">
        <v>0.608132553627453</v>
      </c>
      <c r="L363" s="5">
        <v>0.608132553627453</v>
      </c>
      <c r="M363" s="5">
        <v>0.608132553627453</v>
      </c>
      <c r="N363" s="5">
        <v>7.89343300850538</v>
      </c>
      <c r="O363" s="5">
        <v>7.89343300850538</v>
      </c>
      <c r="P363" s="5">
        <v>7.89343300850538</v>
      </c>
      <c r="Q363" s="5">
        <v>0.0</v>
      </c>
      <c r="R363" s="5">
        <v>0.0</v>
      </c>
      <c r="S363" s="5">
        <v>0.0</v>
      </c>
      <c r="T363" s="5">
        <v>152.440452284177</v>
      </c>
    </row>
    <row r="364">
      <c r="A364" s="5">
        <v>362.0</v>
      </c>
      <c r="B364" s="6">
        <v>44105.0</v>
      </c>
      <c r="C364" s="5">
        <v>144.465623323135</v>
      </c>
      <c r="D364" s="5">
        <v>113.721747500488</v>
      </c>
      <c r="E364" s="5">
        <v>191.916022752742</v>
      </c>
      <c r="F364" s="5">
        <v>144.465623323135</v>
      </c>
      <c r="G364" s="5">
        <v>144.465623323135</v>
      </c>
      <c r="H364" s="5">
        <v>6.61462505178652</v>
      </c>
      <c r="I364" s="5">
        <v>6.61462505178652</v>
      </c>
      <c r="J364" s="5">
        <v>6.61462505178652</v>
      </c>
      <c r="K364" s="5">
        <v>-0.225417905346788</v>
      </c>
      <c r="L364" s="5">
        <v>-0.225417905346788</v>
      </c>
      <c r="M364" s="5">
        <v>-0.225417905346788</v>
      </c>
      <c r="N364" s="5">
        <v>6.84004295713331</v>
      </c>
      <c r="O364" s="5">
        <v>6.84004295713331</v>
      </c>
      <c r="P364" s="5">
        <v>6.84004295713331</v>
      </c>
      <c r="Q364" s="5">
        <v>0.0</v>
      </c>
      <c r="R364" s="5">
        <v>0.0</v>
      </c>
      <c r="S364" s="5">
        <v>0.0</v>
      </c>
      <c r="T364" s="5">
        <v>151.080248374922</v>
      </c>
    </row>
    <row r="365">
      <c r="A365" s="5">
        <v>363.0</v>
      </c>
      <c r="B365" s="6">
        <v>44106.0</v>
      </c>
      <c r="C365" s="5">
        <v>144.992359924226</v>
      </c>
      <c r="D365" s="5">
        <v>112.542192507748</v>
      </c>
      <c r="E365" s="5">
        <v>192.438872379921</v>
      </c>
      <c r="F365" s="5">
        <v>144.992359924226</v>
      </c>
      <c r="G365" s="5">
        <v>144.992359924226</v>
      </c>
      <c r="H365" s="5">
        <v>5.0921739509207</v>
      </c>
      <c r="I365" s="5">
        <v>5.0921739509207</v>
      </c>
      <c r="J365" s="5">
        <v>5.0921739509207</v>
      </c>
      <c r="K365" s="5">
        <v>-0.739640081278242</v>
      </c>
      <c r="L365" s="5">
        <v>-0.739640081278242</v>
      </c>
      <c r="M365" s="5">
        <v>-0.739640081278242</v>
      </c>
      <c r="N365" s="5">
        <v>5.83181403219895</v>
      </c>
      <c r="O365" s="5">
        <v>5.83181403219895</v>
      </c>
      <c r="P365" s="5">
        <v>5.83181403219895</v>
      </c>
      <c r="Q365" s="5">
        <v>0.0</v>
      </c>
      <c r="R365" s="5">
        <v>0.0</v>
      </c>
      <c r="S365" s="5">
        <v>0.0</v>
      </c>
      <c r="T365" s="5">
        <v>150.084533875147</v>
      </c>
    </row>
    <row r="366">
      <c r="A366" s="5">
        <v>364.0</v>
      </c>
      <c r="B366" s="6">
        <v>44109.0</v>
      </c>
      <c r="C366" s="5">
        <v>146.572569694086</v>
      </c>
      <c r="D366" s="5">
        <v>109.408970089351</v>
      </c>
      <c r="E366" s="5">
        <v>189.235288118119</v>
      </c>
      <c r="F366" s="5">
        <v>146.572569694086</v>
      </c>
      <c r="G366" s="5">
        <v>146.572569694086</v>
      </c>
      <c r="H366" s="5">
        <v>4.40697641101962</v>
      </c>
      <c r="I366" s="5">
        <v>4.40697641101962</v>
      </c>
      <c r="J366" s="5">
        <v>4.40697641101962</v>
      </c>
      <c r="K366" s="5">
        <v>1.16457933345055</v>
      </c>
      <c r="L366" s="5">
        <v>1.16457933345055</v>
      </c>
      <c r="M366" s="5">
        <v>1.16457933345055</v>
      </c>
      <c r="N366" s="5">
        <v>3.24239707756906</v>
      </c>
      <c r="O366" s="5">
        <v>3.24239707756906</v>
      </c>
      <c r="P366" s="5">
        <v>3.24239707756906</v>
      </c>
      <c r="Q366" s="5">
        <v>0.0</v>
      </c>
      <c r="R366" s="5">
        <v>0.0</v>
      </c>
      <c r="S366" s="5">
        <v>0.0</v>
      </c>
      <c r="T366" s="5">
        <v>150.979546105106</v>
      </c>
    </row>
    <row r="367">
      <c r="A367" s="5">
        <v>365.0</v>
      </c>
      <c r="B367" s="6">
        <v>44110.0</v>
      </c>
      <c r="C367" s="5">
        <v>147.09930628404</v>
      </c>
      <c r="D367" s="5">
        <v>113.515921601053</v>
      </c>
      <c r="E367" s="5">
        <v>191.17093552908</v>
      </c>
      <c r="F367" s="5">
        <v>147.09930628404</v>
      </c>
      <c r="G367" s="5">
        <v>147.09930628404</v>
      </c>
      <c r="H367" s="5">
        <v>2.81851216680633</v>
      </c>
      <c r="I367" s="5">
        <v>2.81851216680633</v>
      </c>
      <c r="J367" s="5">
        <v>2.81851216680633</v>
      </c>
      <c r="K367" s="5">
        <v>0.24732477213874</v>
      </c>
      <c r="L367" s="5">
        <v>0.24732477213874</v>
      </c>
      <c r="M367" s="5">
        <v>0.24732477213874</v>
      </c>
      <c r="N367" s="5">
        <v>2.57118739466759</v>
      </c>
      <c r="O367" s="5">
        <v>2.57118739466759</v>
      </c>
      <c r="P367" s="5">
        <v>2.57118739466759</v>
      </c>
      <c r="Q367" s="5">
        <v>0.0</v>
      </c>
      <c r="R367" s="5">
        <v>0.0</v>
      </c>
      <c r="S367" s="5">
        <v>0.0</v>
      </c>
      <c r="T367" s="5">
        <v>149.917818450846</v>
      </c>
    </row>
    <row r="368">
      <c r="A368" s="5">
        <v>366.0</v>
      </c>
      <c r="B368" s="6">
        <v>44111.0</v>
      </c>
      <c r="C368" s="5">
        <v>147.626042873993</v>
      </c>
      <c r="D368" s="5">
        <v>111.288409463421</v>
      </c>
      <c r="E368" s="5">
        <v>191.392890011211</v>
      </c>
      <c r="F368" s="5">
        <v>147.626042873993</v>
      </c>
      <c r="G368" s="5">
        <v>147.626042873993</v>
      </c>
      <c r="H368" s="5">
        <v>2.62235035210557</v>
      </c>
      <c r="I368" s="5">
        <v>2.62235035210557</v>
      </c>
      <c r="J368" s="5">
        <v>2.62235035210557</v>
      </c>
      <c r="K368" s="5">
        <v>0.608132553629232</v>
      </c>
      <c r="L368" s="5">
        <v>0.608132553629232</v>
      </c>
      <c r="M368" s="5">
        <v>0.608132553629232</v>
      </c>
      <c r="N368" s="5">
        <v>2.01421779847634</v>
      </c>
      <c r="O368" s="5">
        <v>2.01421779847634</v>
      </c>
      <c r="P368" s="5">
        <v>2.01421779847634</v>
      </c>
      <c r="Q368" s="5">
        <v>0.0</v>
      </c>
      <c r="R368" s="5">
        <v>0.0</v>
      </c>
      <c r="S368" s="5">
        <v>0.0</v>
      </c>
      <c r="T368" s="5">
        <v>150.248393226099</v>
      </c>
    </row>
    <row r="369">
      <c r="A369" s="5">
        <v>367.0</v>
      </c>
      <c r="B369" s="6">
        <v>44112.0</v>
      </c>
      <c r="C369" s="5">
        <v>148.152779463946</v>
      </c>
      <c r="D369" s="5">
        <v>109.043101365683</v>
      </c>
      <c r="E369" s="5">
        <v>188.582441951871</v>
      </c>
      <c r="F369" s="5">
        <v>148.152779463946</v>
      </c>
      <c r="G369" s="5">
        <v>148.152779463946</v>
      </c>
      <c r="H369" s="5">
        <v>1.35338206586782</v>
      </c>
      <c r="I369" s="5">
        <v>1.35338206586782</v>
      </c>
      <c r="J369" s="5">
        <v>1.35338206586782</v>
      </c>
      <c r="K369" s="5">
        <v>-0.225417905349753</v>
      </c>
      <c r="L369" s="5">
        <v>-0.225417905349753</v>
      </c>
      <c r="M369" s="5">
        <v>-0.225417905349753</v>
      </c>
      <c r="N369" s="5">
        <v>1.57879997121757</v>
      </c>
      <c r="O369" s="5">
        <v>1.57879997121757</v>
      </c>
      <c r="P369" s="5">
        <v>1.57879997121757</v>
      </c>
      <c r="Q369" s="5">
        <v>0.0</v>
      </c>
      <c r="R369" s="5">
        <v>0.0</v>
      </c>
      <c r="S369" s="5">
        <v>0.0</v>
      </c>
      <c r="T369" s="5">
        <v>149.506161529814</v>
      </c>
    </row>
    <row r="370">
      <c r="A370" s="5">
        <v>368.0</v>
      </c>
      <c r="B370" s="6">
        <v>44113.0</v>
      </c>
      <c r="C370" s="5">
        <v>148.6795160539</v>
      </c>
      <c r="D370" s="5">
        <v>108.511317588401</v>
      </c>
      <c r="E370" s="5">
        <v>187.699886895296</v>
      </c>
      <c r="F370" s="5">
        <v>148.6795160539</v>
      </c>
      <c r="G370" s="5">
        <v>148.6795160539</v>
      </c>
      <c r="H370" s="5">
        <v>0.529904920525129</v>
      </c>
      <c r="I370" s="5">
        <v>0.529904920525129</v>
      </c>
      <c r="J370" s="5">
        <v>0.529904920525129</v>
      </c>
      <c r="K370" s="5">
        <v>-0.739640081279397</v>
      </c>
      <c r="L370" s="5">
        <v>-0.739640081279397</v>
      </c>
      <c r="M370" s="5">
        <v>-0.739640081279397</v>
      </c>
      <c r="N370" s="5">
        <v>1.26954500180452</v>
      </c>
      <c r="O370" s="5">
        <v>1.26954500180452</v>
      </c>
      <c r="P370" s="5">
        <v>1.26954500180452</v>
      </c>
      <c r="Q370" s="5">
        <v>0.0</v>
      </c>
      <c r="R370" s="5">
        <v>0.0</v>
      </c>
      <c r="S370" s="5">
        <v>0.0</v>
      </c>
      <c r="T370" s="5">
        <v>149.209420974425</v>
      </c>
    </row>
    <row r="371">
      <c r="A371" s="5">
        <v>369.0</v>
      </c>
      <c r="B371" s="6">
        <v>44116.0</v>
      </c>
      <c r="C371" s="5">
        <v>150.25972582376</v>
      </c>
      <c r="D371" s="5">
        <v>111.485481913693</v>
      </c>
      <c r="E371" s="5">
        <v>192.060995853673</v>
      </c>
      <c r="F371" s="5">
        <v>150.25972582376</v>
      </c>
      <c r="G371" s="5">
        <v>150.25972582376</v>
      </c>
      <c r="H371" s="5">
        <v>2.26738946894239</v>
      </c>
      <c r="I371" s="5">
        <v>2.26738946894239</v>
      </c>
      <c r="J371" s="5">
        <v>2.26738946894239</v>
      </c>
      <c r="K371" s="5">
        <v>1.16457933345089</v>
      </c>
      <c r="L371" s="5">
        <v>1.16457933345089</v>
      </c>
      <c r="M371" s="5">
        <v>1.16457933345089</v>
      </c>
      <c r="N371" s="5">
        <v>1.1028101354915</v>
      </c>
      <c r="O371" s="5">
        <v>1.1028101354915</v>
      </c>
      <c r="P371" s="5">
        <v>1.1028101354915</v>
      </c>
      <c r="Q371" s="5">
        <v>0.0</v>
      </c>
      <c r="R371" s="5">
        <v>0.0</v>
      </c>
      <c r="S371" s="5">
        <v>0.0</v>
      </c>
      <c r="T371" s="5">
        <v>152.527115292702</v>
      </c>
    </row>
    <row r="372">
      <c r="A372" s="5">
        <v>370.0</v>
      </c>
      <c r="B372" s="6">
        <v>44117.0</v>
      </c>
      <c r="C372" s="5">
        <v>150.786462413713</v>
      </c>
      <c r="D372" s="5">
        <v>111.213313340688</v>
      </c>
      <c r="E372" s="5">
        <v>193.173496168946</v>
      </c>
      <c r="F372" s="5">
        <v>150.786462413713</v>
      </c>
      <c r="G372" s="5">
        <v>150.786462413713</v>
      </c>
      <c r="H372" s="5">
        <v>1.53573383268515</v>
      </c>
      <c r="I372" s="5">
        <v>1.53573383268515</v>
      </c>
      <c r="J372" s="5">
        <v>1.53573383268515</v>
      </c>
      <c r="K372" s="5">
        <v>0.247324772137406</v>
      </c>
      <c r="L372" s="5">
        <v>0.247324772137406</v>
      </c>
      <c r="M372" s="5">
        <v>0.247324772137406</v>
      </c>
      <c r="N372" s="5">
        <v>1.28840906054775</v>
      </c>
      <c r="O372" s="5">
        <v>1.28840906054775</v>
      </c>
      <c r="P372" s="5">
        <v>1.28840906054775</v>
      </c>
      <c r="Q372" s="5">
        <v>0.0</v>
      </c>
      <c r="R372" s="5">
        <v>0.0</v>
      </c>
      <c r="S372" s="5">
        <v>0.0</v>
      </c>
      <c r="T372" s="5">
        <v>152.322196246399</v>
      </c>
    </row>
    <row r="373">
      <c r="A373" s="5">
        <v>371.0</v>
      </c>
      <c r="B373" s="6">
        <v>44118.0</v>
      </c>
      <c r="C373" s="5">
        <v>151.313199003667</v>
      </c>
      <c r="D373" s="5">
        <v>113.546757375495</v>
      </c>
      <c r="E373" s="5">
        <v>194.807849883118</v>
      </c>
      <c r="F373" s="5">
        <v>151.313199003667</v>
      </c>
      <c r="G373" s="5">
        <v>151.313199003667</v>
      </c>
      <c r="H373" s="5">
        <v>2.18997879061874</v>
      </c>
      <c r="I373" s="5">
        <v>2.18997879061874</v>
      </c>
      <c r="J373" s="5">
        <v>2.18997879061874</v>
      </c>
      <c r="K373" s="5">
        <v>0.608132553627228</v>
      </c>
      <c r="L373" s="5">
        <v>0.608132553627228</v>
      </c>
      <c r="M373" s="5">
        <v>0.608132553627228</v>
      </c>
      <c r="N373" s="5">
        <v>1.58184623699151</v>
      </c>
      <c r="O373" s="5">
        <v>1.58184623699151</v>
      </c>
      <c r="P373" s="5">
        <v>1.58184623699151</v>
      </c>
      <c r="Q373" s="5">
        <v>0.0</v>
      </c>
      <c r="R373" s="5">
        <v>0.0</v>
      </c>
      <c r="S373" s="5">
        <v>0.0</v>
      </c>
      <c r="T373" s="5">
        <v>153.503177794285</v>
      </c>
    </row>
    <row r="374">
      <c r="A374" s="5">
        <v>372.0</v>
      </c>
      <c r="B374" s="6">
        <v>44119.0</v>
      </c>
      <c r="C374" s="5">
        <v>151.83993559362</v>
      </c>
      <c r="D374" s="5">
        <v>114.447178873565</v>
      </c>
      <c r="E374" s="5">
        <v>194.085729795245</v>
      </c>
      <c r="F374" s="5">
        <v>151.83993559362</v>
      </c>
      <c r="G374" s="5">
        <v>151.83993559362</v>
      </c>
      <c r="H374" s="5">
        <v>1.74660121997504</v>
      </c>
      <c r="I374" s="5">
        <v>1.74660121997504</v>
      </c>
      <c r="J374" s="5">
        <v>1.74660121997504</v>
      </c>
      <c r="K374" s="5">
        <v>-0.225417905345946</v>
      </c>
      <c r="L374" s="5">
        <v>-0.225417905345946</v>
      </c>
      <c r="M374" s="5">
        <v>-0.225417905345946</v>
      </c>
      <c r="N374" s="5">
        <v>1.97201912532099</v>
      </c>
      <c r="O374" s="5">
        <v>1.97201912532099</v>
      </c>
      <c r="P374" s="5">
        <v>1.97201912532099</v>
      </c>
      <c r="Q374" s="5">
        <v>0.0</v>
      </c>
      <c r="R374" s="5">
        <v>0.0</v>
      </c>
      <c r="S374" s="5">
        <v>0.0</v>
      </c>
      <c r="T374" s="5">
        <v>153.586536813595</v>
      </c>
    </row>
    <row r="375">
      <c r="A375" s="5">
        <v>373.0</v>
      </c>
      <c r="B375" s="6">
        <v>44120.0</v>
      </c>
      <c r="C375" s="5">
        <v>152.366672183573</v>
      </c>
      <c r="D375" s="5">
        <v>112.170561443852</v>
      </c>
      <c r="E375" s="5">
        <v>193.33182859949</v>
      </c>
      <c r="F375" s="5">
        <v>152.366672183573</v>
      </c>
      <c r="G375" s="5">
        <v>152.366672183573</v>
      </c>
      <c r="H375" s="5">
        <v>1.7062979611372</v>
      </c>
      <c r="I375" s="5">
        <v>1.7062979611372</v>
      </c>
      <c r="J375" s="5">
        <v>1.7062979611372</v>
      </c>
      <c r="K375" s="5">
        <v>-0.739640081280553</v>
      </c>
      <c r="L375" s="5">
        <v>-0.739640081280553</v>
      </c>
      <c r="M375" s="5">
        <v>-0.739640081280553</v>
      </c>
      <c r="N375" s="5">
        <v>2.44593804241776</v>
      </c>
      <c r="O375" s="5">
        <v>2.44593804241776</v>
      </c>
      <c r="P375" s="5">
        <v>2.44593804241776</v>
      </c>
      <c r="Q375" s="5">
        <v>0.0</v>
      </c>
      <c r="R375" s="5">
        <v>0.0</v>
      </c>
      <c r="S375" s="5">
        <v>0.0</v>
      </c>
      <c r="T375" s="5">
        <v>154.072970144711</v>
      </c>
    </row>
    <row r="376">
      <c r="A376" s="5">
        <v>374.0</v>
      </c>
      <c r="B376" s="6">
        <v>44123.0</v>
      </c>
      <c r="C376" s="5">
        <v>153.946881953434</v>
      </c>
      <c r="D376" s="5">
        <v>122.266527763493</v>
      </c>
      <c r="E376" s="5">
        <v>202.253577884093</v>
      </c>
      <c r="F376" s="5">
        <v>153.946881953434</v>
      </c>
      <c r="G376" s="5">
        <v>153.946881953434</v>
      </c>
      <c r="H376" s="5">
        <v>5.38448455760375</v>
      </c>
      <c r="I376" s="5">
        <v>5.38448455760375</v>
      </c>
      <c r="J376" s="5">
        <v>5.38448455760375</v>
      </c>
      <c r="K376" s="5">
        <v>1.16457933345112</v>
      </c>
      <c r="L376" s="5">
        <v>1.16457933345112</v>
      </c>
      <c r="M376" s="5">
        <v>1.16457933345112</v>
      </c>
      <c r="N376" s="5">
        <v>4.21990522415262</v>
      </c>
      <c r="O376" s="5">
        <v>4.21990522415262</v>
      </c>
      <c r="P376" s="5">
        <v>4.21990522415262</v>
      </c>
      <c r="Q376" s="5">
        <v>0.0</v>
      </c>
      <c r="R376" s="5">
        <v>0.0</v>
      </c>
      <c r="S376" s="5">
        <v>0.0</v>
      </c>
      <c r="T376" s="5">
        <v>159.331366511037</v>
      </c>
    </row>
    <row r="377">
      <c r="A377" s="5">
        <v>375.0</v>
      </c>
      <c r="B377" s="6">
        <v>44124.0</v>
      </c>
      <c r="C377" s="5">
        <v>154.473618543387</v>
      </c>
      <c r="D377" s="5">
        <v>122.211964215939</v>
      </c>
      <c r="E377" s="5">
        <v>199.695167667001</v>
      </c>
      <c r="F377" s="5">
        <v>154.473618543387</v>
      </c>
      <c r="G377" s="5">
        <v>154.473618543387</v>
      </c>
      <c r="H377" s="5">
        <v>5.12203178316315</v>
      </c>
      <c r="I377" s="5">
        <v>5.12203178316315</v>
      </c>
      <c r="J377" s="5">
        <v>5.12203178316315</v>
      </c>
      <c r="K377" s="5">
        <v>0.247324772137494</v>
      </c>
      <c r="L377" s="5">
        <v>0.247324772137494</v>
      </c>
      <c r="M377" s="5">
        <v>0.247324772137494</v>
      </c>
      <c r="N377" s="5">
        <v>4.87470701102566</v>
      </c>
      <c r="O377" s="5">
        <v>4.87470701102566</v>
      </c>
      <c r="P377" s="5">
        <v>4.87470701102566</v>
      </c>
      <c r="Q377" s="5">
        <v>0.0</v>
      </c>
      <c r="R377" s="5">
        <v>0.0</v>
      </c>
      <c r="S377" s="5">
        <v>0.0</v>
      </c>
      <c r="T377" s="5">
        <v>159.59565032655</v>
      </c>
    </row>
    <row r="378">
      <c r="A378" s="5">
        <v>376.0</v>
      </c>
      <c r="B378" s="6">
        <v>44125.0</v>
      </c>
      <c r="C378" s="5">
        <v>155.00035513334</v>
      </c>
      <c r="D378" s="5">
        <v>120.871470242144</v>
      </c>
      <c r="E378" s="5">
        <v>200.767974077629</v>
      </c>
      <c r="F378" s="5">
        <v>155.00035513334</v>
      </c>
      <c r="G378" s="5">
        <v>155.00035513334</v>
      </c>
      <c r="H378" s="5">
        <v>6.14206115706155</v>
      </c>
      <c r="I378" s="5">
        <v>6.14206115706155</v>
      </c>
      <c r="J378" s="5">
        <v>6.14206115706155</v>
      </c>
      <c r="K378" s="5">
        <v>0.608132553629007</v>
      </c>
      <c r="L378" s="5">
        <v>0.608132553629007</v>
      </c>
      <c r="M378" s="5">
        <v>0.608132553629007</v>
      </c>
      <c r="N378" s="5">
        <v>5.53392860343254</v>
      </c>
      <c r="O378" s="5">
        <v>5.53392860343254</v>
      </c>
      <c r="P378" s="5">
        <v>5.53392860343254</v>
      </c>
      <c r="Q378" s="5">
        <v>0.0</v>
      </c>
      <c r="R378" s="5">
        <v>0.0</v>
      </c>
      <c r="S378" s="5">
        <v>0.0</v>
      </c>
      <c r="T378" s="5">
        <v>161.142416290402</v>
      </c>
    </row>
    <row r="379">
      <c r="A379" s="5">
        <v>377.0</v>
      </c>
      <c r="B379" s="6">
        <v>44126.0</v>
      </c>
      <c r="C379" s="5">
        <v>155.527091723294</v>
      </c>
      <c r="D379" s="5">
        <v>117.340072321974</v>
      </c>
      <c r="E379" s="5">
        <v>200.494085933987</v>
      </c>
      <c r="F379" s="5">
        <v>155.527091723294</v>
      </c>
      <c r="G379" s="5">
        <v>155.527091723294</v>
      </c>
      <c r="H379" s="5">
        <v>5.95648586149771</v>
      </c>
      <c r="I379" s="5">
        <v>5.95648586149771</v>
      </c>
      <c r="J379" s="5">
        <v>5.95648586149771</v>
      </c>
      <c r="K379" s="5">
        <v>-0.225417905346985</v>
      </c>
      <c r="L379" s="5">
        <v>-0.225417905346985</v>
      </c>
      <c r="M379" s="5">
        <v>-0.225417905346985</v>
      </c>
      <c r="N379" s="5">
        <v>6.1819037668447</v>
      </c>
      <c r="O379" s="5">
        <v>6.1819037668447</v>
      </c>
      <c r="P379" s="5">
        <v>6.1819037668447</v>
      </c>
      <c r="Q379" s="5">
        <v>0.0</v>
      </c>
      <c r="R379" s="5">
        <v>0.0</v>
      </c>
      <c r="S379" s="5">
        <v>0.0</v>
      </c>
      <c r="T379" s="5">
        <v>161.483577584792</v>
      </c>
    </row>
    <row r="380">
      <c r="A380" s="5">
        <v>378.0</v>
      </c>
      <c r="B380" s="6">
        <v>44127.0</v>
      </c>
      <c r="C380" s="5">
        <v>156.053828313247</v>
      </c>
      <c r="D380" s="5">
        <v>118.905043618172</v>
      </c>
      <c r="E380" s="5">
        <v>201.569335933294</v>
      </c>
      <c r="F380" s="5">
        <v>156.053828313247</v>
      </c>
      <c r="G380" s="5">
        <v>156.053828313247</v>
      </c>
      <c r="H380" s="5">
        <v>6.0644093893332</v>
      </c>
      <c r="I380" s="5">
        <v>6.0644093893332</v>
      </c>
      <c r="J380" s="5">
        <v>6.0644093893332</v>
      </c>
      <c r="K380" s="5">
        <v>-0.739640081281709</v>
      </c>
      <c r="L380" s="5">
        <v>-0.739640081281709</v>
      </c>
      <c r="M380" s="5">
        <v>-0.739640081281709</v>
      </c>
      <c r="N380" s="5">
        <v>6.80404947061491</v>
      </c>
      <c r="O380" s="5">
        <v>6.80404947061491</v>
      </c>
      <c r="P380" s="5">
        <v>6.80404947061491</v>
      </c>
      <c r="Q380" s="5">
        <v>0.0</v>
      </c>
      <c r="R380" s="5">
        <v>0.0</v>
      </c>
      <c r="S380" s="5">
        <v>0.0</v>
      </c>
      <c r="T380" s="5">
        <v>162.11823770258</v>
      </c>
    </row>
    <row r="381">
      <c r="A381" s="5">
        <v>379.0</v>
      </c>
      <c r="B381" s="6">
        <v>44130.0</v>
      </c>
      <c r="C381" s="5">
        <v>157.634038083107</v>
      </c>
      <c r="D381" s="5">
        <v>127.24191235716</v>
      </c>
      <c r="E381" s="5">
        <v>206.011064055009</v>
      </c>
      <c r="F381" s="5">
        <v>157.634038083107</v>
      </c>
      <c r="G381" s="5">
        <v>157.634038083107</v>
      </c>
      <c r="H381" s="5">
        <v>9.55831621895014</v>
      </c>
      <c r="I381" s="5">
        <v>9.55831621895014</v>
      </c>
      <c r="J381" s="5">
        <v>9.55831621895014</v>
      </c>
      <c r="K381" s="5">
        <v>1.16457933345156</v>
      </c>
      <c r="L381" s="5">
        <v>1.16457933345156</v>
      </c>
      <c r="M381" s="5">
        <v>1.16457933345156</v>
      </c>
      <c r="N381" s="5">
        <v>8.39373688549857</v>
      </c>
      <c r="O381" s="5">
        <v>8.39373688549857</v>
      </c>
      <c r="P381" s="5">
        <v>8.39373688549857</v>
      </c>
      <c r="Q381" s="5">
        <v>0.0</v>
      </c>
      <c r="R381" s="5">
        <v>0.0</v>
      </c>
      <c r="S381" s="5">
        <v>0.0</v>
      </c>
      <c r="T381" s="5">
        <v>167.192354302057</v>
      </c>
    </row>
    <row r="382">
      <c r="A382" s="5">
        <v>380.0</v>
      </c>
      <c r="B382" s="6">
        <v>44131.0</v>
      </c>
      <c r="C382" s="5">
        <v>158.160774673061</v>
      </c>
      <c r="D382" s="5">
        <v>126.329679929011</v>
      </c>
      <c r="E382" s="5">
        <v>205.49256028027</v>
      </c>
      <c r="F382" s="5">
        <v>158.160774673061</v>
      </c>
      <c r="G382" s="5">
        <v>158.160774673061</v>
      </c>
      <c r="H382" s="5">
        <v>9.04826645661146</v>
      </c>
      <c r="I382" s="5">
        <v>9.04826645661146</v>
      </c>
      <c r="J382" s="5">
        <v>9.04826645661146</v>
      </c>
      <c r="K382" s="5">
        <v>0.247324772137582</v>
      </c>
      <c r="L382" s="5">
        <v>0.247324772137582</v>
      </c>
      <c r="M382" s="5">
        <v>0.247324772137582</v>
      </c>
      <c r="N382" s="5">
        <v>8.80094168447388</v>
      </c>
      <c r="O382" s="5">
        <v>8.80094168447388</v>
      </c>
      <c r="P382" s="5">
        <v>8.80094168447388</v>
      </c>
      <c r="Q382" s="5">
        <v>0.0</v>
      </c>
      <c r="R382" s="5">
        <v>0.0</v>
      </c>
      <c r="S382" s="5">
        <v>0.0</v>
      </c>
      <c r="T382" s="5">
        <v>167.209041129672</v>
      </c>
    </row>
    <row r="383">
      <c r="A383" s="5">
        <v>381.0</v>
      </c>
      <c r="B383" s="6">
        <v>44132.0</v>
      </c>
      <c r="C383" s="5">
        <v>158.687511263014</v>
      </c>
      <c r="D383" s="5">
        <v>130.041571333349</v>
      </c>
      <c r="E383" s="5">
        <v>208.437303090869</v>
      </c>
      <c r="F383" s="5">
        <v>158.687511263014</v>
      </c>
      <c r="G383" s="5">
        <v>158.687511263014</v>
      </c>
      <c r="H383" s="5">
        <v>9.74556522174219</v>
      </c>
      <c r="I383" s="5">
        <v>9.74556522174219</v>
      </c>
      <c r="J383" s="5">
        <v>9.74556522174219</v>
      </c>
      <c r="K383" s="5">
        <v>0.608132553625448</v>
      </c>
      <c r="L383" s="5">
        <v>0.608132553625448</v>
      </c>
      <c r="M383" s="5">
        <v>0.608132553625448</v>
      </c>
      <c r="N383" s="5">
        <v>9.13743266811674</v>
      </c>
      <c r="O383" s="5">
        <v>9.13743266811674</v>
      </c>
      <c r="P383" s="5">
        <v>9.13743266811674</v>
      </c>
      <c r="Q383" s="5">
        <v>0.0</v>
      </c>
      <c r="R383" s="5">
        <v>0.0</v>
      </c>
      <c r="S383" s="5">
        <v>0.0</v>
      </c>
      <c r="T383" s="5">
        <v>168.433076484756</v>
      </c>
    </row>
    <row r="384">
      <c r="A384" s="5">
        <v>382.0</v>
      </c>
      <c r="B384" s="6">
        <v>44133.0</v>
      </c>
      <c r="C384" s="5">
        <v>159.214247852967</v>
      </c>
      <c r="D384" s="5">
        <v>127.044198635466</v>
      </c>
      <c r="E384" s="5">
        <v>212.012184970022</v>
      </c>
      <c r="F384" s="5">
        <v>159.214247852967</v>
      </c>
      <c r="G384" s="5">
        <v>159.214247852967</v>
      </c>
      <c r="H384" s="5">
        <v>9.17595264047424</v>
      </c>
      <c r="I384" s="5">
        <v>9.17595264047424</v>
      </c>
      <c r="J384" s="5">
        <v>9.17595264047424</v>
      </c>
      <c r="K384" s="5">
        <v>-0.225417905346564</v>
      </c>
      <c r="L384" s="5">
        <v>-0.225417905346564</v>
      </c>
      <c r="M384" s="5">
        <v>-0.225417905346564</v>
      </c>
      <c r="N384" s="5">
        <v>9.4013705458208</v>
      </c>
      <c r="O384" s="5">
        <v>9.4013705458208</v>
      </c>
      <c r="P384" s="5">
        <v>9.4013705458208</v>
      </c>
      <c r="Q384" s="5">
        <v>0.0</v>
      </c>
      <c r="R384" s="5">
        <v>0.0</v>
      </c>
      <c r="S384" s="5">
        <v>0.0</v>
      </c>
      <c r="T384" s="5">
        <v>168.390200493442</v>
      </c>
    </row>
    <row r="385">
      <c r="A385" s="5">
        <v>383.0</v>
      </c>
      <c r="B385" s="6">
        <v>44134.0</v>
      </c>
      <c r="C385" s="5">
        <v>159.740984442921</v>
      </c>
      <c r="D385" s="5">
        <v>128.056659179919</v>
      </c>
      <c r="E385" s="5">
        <v>210.761650931033</v>
      </c>
      <c r="F385" s="5">
        <v>159.740984442921</v>
      </c>
      <c r="G385" s="5">
        <v>159.740984442921</v>
      </c>
      <c r="H385" s="5">
        <v>8.85383719244929</v>
      </c>
      <c r="I385" s="5">
        <v>8.85383719244929</v>
      </c>
      <c r="J385" s="5">
        <v>8.85383719244929</v>
      </c>
      <c r="K385" s="5">
        <v>-0.739640081279432</v>
      </c>
      <c r="L385" s="5">
        <v>-0.739640081279432</v>
      </c>
      <c r="M385" s="5">
        <v>-0.739640081279432</v>
      </c>
      <c r="N385" s="5">
        <v>9.59347727372872</v>
      </c>
      <c r="O385" s="5">
        <v>9.59347727372872</v>
      </c>
      <c r="P385" s="5">
        <v>9.59347727372872</v>
      </c>
      <c r="Q385" s="5">
        <v>0.0</v>
      </c>
      <c r="R385" s="5">
        <v>0.0</v>
      </c>
      <c r="S385" s="5">
        <v>0.0</v>
      </c>
      <c r="T385" s="5">
        <v>168.59482163537</v>
      </c>
    </row>
    <row r="386">
      <c r="A386" s="5">
        <v>384.0</v>
      </c>
      <c r="B386" s="6">
        <v>44137.0</v>
      </c>
      <c r="C386" s="5">
        <v>161.321194212781</v>
      </c>
      <c r="D386" s="5">
        <v>131.361966357632</v>
      </c>
      <c r="E386" s="5">
        <v>212.335447208371</v>
      </c>
      <c r="F386" s="5">
        <v>161.321194212781</v>
      </c>
      <c r="G386" s="5">
        <v>161.321194212781</v>
      </c>
      <c r="H386" s="5">
        <v>10.9469662947911</v>
      </c>
      <c r="I386" s="5">
        <v>10.9469662947911</v>
      </c>
      <c r="J386" s="5">
        <v>10.9469662947911</v>
      </c>
      <c r="K386" s="5">
        <v>1.16457933345007</v>
      </c>
      <c r="L386" s="5">
        <v>1.16457933345007</v>
      </c>
      <c r="M386" s="5">
        <v>1.16457933345007</v>
      </c>
      <c r="N386" s="5">
        <v>9.78238696134112</v>
      </c>
      <c r="O386" s="5">
        <v>9.78238696134112</v>
      </c>
      <c r="P386" s="5">
        <v>9.78238696134112</v>
      </c>
      <c r="Q386" s="5">
        <v>0.0</v>
      </c>
      <c r="R386" s="5">
        <v>0.0</v>
      </c>
      <c r="S386" s="5">
        <v>0.0</v>
      </c>
      <c r="T386" s="5">
        <v>172.268160507572</v>
      </c>
    </row>
    <row r="387">
      <c r="A387" s="5">
        <v>385.0</v>
      </c>
      <c r="B387" s="6">
        <v>44138.0</v>
      </c>
      <c r="C387" s="5">
        <v>161.847930802734</v>
      </c>
      <c r="D387" s="5">
        <v>132.584676067148</v>
      </c>
      <c r="E387" s="5">
        <v>213.066316934421</v>
      </c>
      <c r="F387" s="5">
        <v>161.847930802734</v>
      </c>
      <c r="G387" s="5">
        <v>161.847930802734</v>
      </c>
      <c r="H387" s="5">
        <v>9.98883081444448</v>
      </c>
      <c r="I387" s="5">
        <v>9.98883081444448</v>
      </c>
      <c r="J387" s="5">
        <v>9.98883081444448</v>
      </c>
      <c r="K387" s="5">
        <v>0.247324772137671</v>
      </c>
      <c r="L387" s="5">
        <v>0.247324772137671</v>
      </c>
      <c r="M387" s="5">
        <v>0.247324772137671</v>
      </c>
      <c r="N387" s="5">
        <v>9.74150604230681</v>
      </c>
      <c r="O387" s="5">
        <v>9.74150604230681</v>
      </c>
      <c r="P387" s="5">
        <v>9.74150604230681</v>
      </c>
      <c r="Q387" s="5">
        <v>0.0</v>
      </c>
      <c r="R387" s="5">
        <v>0.0</v>
      </c>
      <c r="S387" s="5">
        <v>0.0</v>
      </c>
      <c r="T387" s="5">
        <v>171.836761617179</v>
      </c>
    </row>
    <row r="388">
      <c r="A388" s="5">
        <v>386.0</v>
      </c>
      <c r="B388" s="6">
        <v>44139.0</v>
      </c>
      <c r="C388" s="5">
        <v>162.374667392688</v>
      </c>
      <c r="D388" s="5">
        <v>133.249520876167</v>
      </c>
      <c r="E388" s="5">
        <v>213.11298651385</v>
      </c>
      <c r="F388" s="5">
        <v>162.374667392688</v>
      </c>
      <c r="G388" s="5">
        <v>162.374667392688</v>
      </c>
      <c r="H388" s="5">
        <v>10.2738760229049</v>
      </c>
      <c r="I388" s="5">
        <v>10.2738760229049</v>
      </c>
      <c r="J388" s="5">
        <v>10.2738760229049</v>
      </c>
      <c r="K388" s="5">
        <v>0.608132553627227</v>
      </c>
      <c r="L388" s="5">
        <v>0.608132553627227</v>
      </c>
      <c r="M388" s="5">
        <v>0.608132553627227</v>
      </c>
      <c r="N388" s="5">
        <v>9.66574346927769</v>
      </c>
      <c r="O388" s="5">
        <v>9.66574346927769</v>
      </c>
      <c r="P388" s="5">
        <v>9.66574346927769</v>
      </c>
      <c r="Q388" s="5">
        <v>0.0</v>
      </c>
      <c r="R388" s="5">
        <v>0.0</v>
      </c>
      <c r="S388" s="5">
        <v>0.0</v>
      </c>
      <c r="T388" s="5">
        <v>172.648543415593</v>
      </c>
    </row>
    <row r="389">
      <c r="A389" s="5">
        <v>387.0</v>
      </c>
      <c r="B389" s="6">
        <v>44140.0</v>
      </c>
      <c r="C389" s="5">
        <v>162.901403982641</v>
      </c>
      <c r="D389" s="5">
        <v>130.402168684887</v>
      </c>
      <c r="E389" s="5">
        <v>212.193297751739</v>
      </c>
      <c r="F389" s="5">
        <v>162.901403982641</v>
      </c>
      <c r="G389" s="5">
        <v>162.901403982641</v>
      </c>
      <c r="H389" s="5">
        <v>9.34180987761752</v>
      </c>
      <c r="I389" s="5">
        <v>9.34180987761752</v>
      </c>
      <c r="J389" s="5">
        <v>9.34180987761752</v>
      </c>
      <c r="K389" s="5">
        <v>-0.225417905349529</v>
      </c>
      <c r="L389" s="5">
        <v>-0.225417905349529</v>
      </c>
      <c r="M389" s="5">
        <v>-0.225417905349529</v>
      </c>
      <c r="N389" s="5">
        <v>9.56722778296705</v>
      </c>
      <c r="O389" s="5">
        <v>9.56722778296705</v>
      </c>
      <c r="P389" s="5">
        <v>9.56722778296705</v>
      </c>
      <c r="Q389" s="5">
        <v>0.0</v>
      </c>
      <c r="R389" s="5">
        <v>0.0</v>
      </c>
      <c r="S389" s="5">
        <v>0.0</v>
      </c>
      <c r="T389" s="5">
        <v>172.243213860259</v>
      </c>
    </row>
    <row r="390">
      <c r="A390" s="5">
        <v>388.0</v>
      </c>
      <c r="B390" s="6">
        <v>44141.0</v>
      </c>
      <c r="C390" s="5">
        <v>163.428140572594</v>
      </c>
      <c r="D390" s="5">
        <v>131.036416289464</v>
      </c>
      <c r="E390" s="5">
        <v>212.585175444135</v>
      </c>
      <c r="F390" s="5">
        <v>163.428140572594</v>
      </c>
      <c r="G390" s="5">
        <v>163.428140572594</v>
      </c>
      <c r="H390" s="5">
        <v>8.71914797659707</v>
      </c>
      <c r="I390" s="5">
        <v>8.71914797659707</v>
      </c>
      <c r="J390" s="5">
        <v>8.71914797659707</v>
      </c>
      <c r="K390" s="5">
        <v>-0.73964008128402</v>
      </c>
      <c r="L390" s="5">
        <v>-0.73964008128402</v>
      </c>
      <c r="M390" s="5">
        <v>-0.73964008128402</v>
      </c>
      <c r="N390" s="5">
        <v>9.45878805788109</v>
      </c>
      <c r="O390" s="5">
        <v>9.45878805788109</v>
      </c>
      <c r="P390" s="5">
        <v>9.45878805788109</v>
      </c>
      <c r="Q390" s="5">
        <v>0.0</v>
      </c>
      <c r="R390" s="5">
        <v>0.0</v>
      </c>
      <c r="S390" s="5">
        <v>0.0</v>
      </c>
      <c r="T390" s="5">
        <v>172.147288549191</v>
      </c>
    </row>
    <row r="391">
      <c r="A391" s="5">
        <v>389.0</v>
      </c>
      <c r="B391" s="6">
        <v>44144.0</v>
      </c>
      <c r="C391" s="5">
        <v>165.008350342455</v>
      </c>
      <c r="D391" s="5">
        <v>136.126180605942</v>
      </c>
      <c r="E391" s="5">
        <v>216.928591333339</v>
      </c>
      <c r="F391" s="5">
        <v>165.008350342455</v>
      </c>
      <c r="G391" s="5">
        <v>165.008350342455</v>
      </c>
      <c r="H391" s="5">
        <v>10.3680374013525</v>
      </c>
      <c r="I391" s="5">
        <v>10.3680374013525</v>
      </c>
      <c r="J391" s="5">
        <v>10.3680374013525</v>
      </c>
      <c r="K391" s="5">
        <v>1.16457933345041</v>
      </c>
      <c r="L391" s="5">
        <v>1.16457933345041</v>
      </c>
      <c r="M391" s="5">
        <v>1.16457933345041</v>
      </c>
      <c r="N391" s="5">
        <v>9.20345806790218</v>
      </c>
      <c r="O391" s="5">
        <v>9.20345806790218</v>
      </c>
      <c r="P391" s="5">
        <v>9.20345806790218</v>
      </c>
      <c r="Q391" s="5">
        <v>0.0</v>
      </c>
      <c r="R391" s="5">
        <v>0.0</v>
      </c>
      <c r="S391" s="5">
        <v>0.0</v>
      </c>
      <c r="T391" s="5">
        <v>175.376387743807</v>
      </c>
    </row>
    <row r="392">
      <c r="A392" s="5">
        <v>390.0</v>
      </c>
      <c r="B392" s="6">
        <v>44145.0</v>
      </c>
      <c r="C392" s="5">
        <v>165.535086932408</v>
      </c>
      <c r="D392" s="5">
        <v>131.469472698342</v>
      </c>
      <c r="E392" s="5">
        <v>215.896803447328</v>
      </c>
      <c r="F392" s="5">
        <v>165.535086932408</v>
      </c>
      <c r="G392" s="5">
        <v>165.535086932408</v>
      </c>
      <c r="H392" s="5">
        <v>9.42949901092033</v>
      </c>
      <c r="I392" s="5">
        <v>9.42949901092033</v>
      </c>
      <c r="J392" s="5">
        <v>9.42949901092033</v>
      </c>
      <c r="K392" s="5">
        <v>0.247324772139056</v>
      </c>
      <c r="L392" s="5">
        <v>0.247324772139056</v>
      </c>
      <c r="M392" s="5">
        <v>0.247324772139056</v>
      </c>
      <c r="N392" s="5">
        <v>9.18217423878128</v>
      </c>
      <c r="O392" s="5">
        <v>9.18217423878128</v>
      </c>
      <c r="P392" s="5">
        <v>9.18217423878128</v>
      </c>
      <c r="Q392" s="5">
        <v>0.0</v>
      </c>
      <c r="R392" s="5">
        <v>0.0</v>
      </c>
      <c r="S392" s="5">
        <v>0.0</v>
      </c>
      <c r="T392" s="5">
        <v>174.964585943328</v>
      </c>
    </row>
    <row r="393">
      <c r="A393" s="5">
        <v>391.0</v>
      </c>
      <c r="B393" s="6">
        <v>44146.0</v>
      </c>
      <c r="C393" s="5">
        <v>166.061823522361</v>
      </c>
      <c r="D393" s="5">
        <v>136.973038635728</v>
      </c>
      <c r="E393" s="5">
        <v>217.763442418699</v>
      </c>
      <c r="F393" s="5">
        <v>166.061823522361</v>
      </c>
      <c r="G393" s="5">
        <v>166.061823522361</v>
      </c>
      <c r="H393" s="5">
        <v>9.81837246287972</v>
      </c>
      <c r="I393" s="5">
        <v>9.81837246287972</v>
      </c>
      <c r="J393" s="5">
        <v>9.81837246287972</v>
      </c>
      <c r="K393" s="5">
        <v>0.608132553626338</v>
      </c>
      <c r="L393" s="5">
        <v>0.608132553626338</v>
      </c>
      <c r="M393" s="5">
        <v>0.608132553626338</v>
      </c>
      <c r="N393" s="5">
        <v>9.21023990925338</v>
      </c>
      <c r="O393" s="5">
        <v>9.21023990925338</v>
      </c>
      <c r="P393" s="5">
        <v>9.21023990925338</v>
      </c>
      <c r="Q393" s="5">
        <v>0.0</v>
      </c>
      <c r="R393" s="5">
        <v>0.0</v>
      </c>
      <c r="S393" s="5">
        <v>0.0</v>
      </c>
      <c r="T393" s="5">
        <v>175.880195985241</v>
      </c>
    </row>
    <row r="394">
      <c r="A394" s="5">
        <v>392.0</v>
      </c>
      <c r="B394" s="6">
        <v>44147.0</v>
      </c>
      <c r="C394" s="5">
        <v>166.588560112315</v>
      </c>
      <c r="D394" s="5">
        <v>132.538576222765</v>
      </c>
      <c r="E394" s="5">
        <v>218.517297124189</v>
      </c>
      <c r="F394" s="5">
        <v>166.588560112315</v>
      </c>
      <c r="G394" s="5">
        <v>166.588560112315</v>
      </c>
      <c r="H394" s="5">
        <v>9.07022151988284</v>
      </c>
      <c r="I394" s="5">
        <v>9.07022151988284</v>
      </c>
      <c r="J394" s="5">
        <v>9.07022151988284</v>
      </c>
      <c r="K394" s="5">
        <v>-0.225417905352493</v>
      </c>
      <c r="L394" s="5">
        <v>-0.225417905352493</v>
      </c>
      <c r="M394" s="5">
        <v>-0.225417905352493</v>
      </c>
      <c r="N394" s="5">
        <v>9.29563942523533</v>
      </c>
      <c r="O394" s="5">
        <v>9.29563942523533</v>
      </c>
      <c r="P394" s="5">
        <v>9.29563942523533</v>
      </c>
      <c r="Q394" s="5">
        <v>0.0</v>
      </c>
      <c r="R394" s="5">
        <v>0.0</v>
      </c>
      <c r="S394" s="5">
        <v>0.0</v>
      </c>
      <c r="T394" s="5">
        <v>175.658781632198</v>
      </c>
    </row>
    <row r="395">
      <c r="A395" s="5">
        <v>393.0</v>
      </c>
      <c r="B395" s="6">
        <v>44148.0</v>
      </c>
      <c r="C395" s="5">
        <v>167.115296702268</v>
      </c>
      <c r="D395" s="5">
        <v>133.047170161781</v>
      </c>
      <c r="E395" s="5">
        <v>212.501724080165</v>
      </c>
      <c r="F395" s="5">
        <v>167.115296702268</v>
      </c>
      <c r="G395" s="5">
        <v>167.115296702268</v>
      </c>
      <c r="H395" s="5">
        <v>8.70462809502988</v>
      </c>
      <c r="I395" s="5">
        <v>8.70462809502988</v>
      </c>
      <c r="J395" s="5">
        <v>8.70462809502988</v>
      </c>
      <c r="K395" s="5">
        <v>-0.739640081279682</v>
      </c>
      <c r="L395" s="5">
        <v>-0.739640081279682</v>
      </c>
      <c r="M395" s="5">
        <v>-0.739640081279682</v>
      </c>
      <c r="N395" s="5">
        <v>9.44426817630956</v>
      </c>
      <c r="O395" s="5">
        <v>9.44426817630956</v>
      </c>
      <c r="P395" s="5">
        <v>9.44426817630956</v>
      </c>
      <c r="Q395" s="5">
        <v>0.0</v>
      </c>
      <c r="R395" s="5">
        <v>0.0</v>
      </c>
      <c r="S395" s="5">
        <v>0.0</v>
      </c>
      <c r="T395" s="5">
        <v>175.819924797298</v>
      </c>
    </row>
    <row r="396">
      <c r="A396" s="5">
        <v>394.0</v>
      </c>
      <c r="B396" s="6">
        <v>44151.0</v>
      </c>
      <c r="C396" s="5">
        <v>168.695506472128</v>
      </c>
      <c r="D396" s="5">
        <v>141.477308629505</v>
      </c>
      <c r="E396" s="5">
        <v>225.744863286799</v>
      </c>
      <c r="F396" s="5">
        <v>168.695506472128</v>
      </c>
      <c r="G396" s="5">
        <v>168.695506472128</v>
      </c>
      <c r="H396" s="5">
        <v>11.4573810575496</v>
      </c>
      <c r="I396" s="5">
        <v>11.4573810575496</v>
      </c>
      <c r="J396" s="5">
        <v>11.4573810575496</v>
      </c>
      <c r="K396" s="5">
        <v>1.16457933345064</v>
      </c>
      <c r="L396" s="5">
        <v>1.16457933345064</v>
      </c>
      <c r="M396" s="5">
        <v>1.16457933345064</v>
      </c>
      <c r="N396" s="5">
        <v>10.292801724099</v>
      </c>
      <c r="O396" s="5">
        <v>10.292801724099</v>
      </c>
      <c r="P396" s="5">
        <v>10.292801724099</v>
      </c>
      <c r="Q396" s="5">
        <v>0.0</v>
      </c>
      <c r="R396" s="5">
        <v>0.0</v>
      </c>
      <c r="S396" s="5">
        <v>0.0</v>
      </c>
      <c r="T396" s="5">
        <v>180.152887529678</v>
      </c>
    </row>
    <row r="397">
      <c r="A397" s="5">
        <v>395.0</v>
      </c>
      <c r="B397" s="6">
        <v>44152.0</v>
      </c>
      <c r="C397" s="5">
        <v>169.222243062082</v>
      </c>
      <c r="D397" s="5">
        <v>137.340436252505</v>
      </c>
      <c r="E397" s="5">
        <v>222.232109487963</v>
      </c>
      <c r="F397" s="5">
        <v>169.222243062082</v>
      </c>
      <c r="G397" s="5">
        <v>169.222243062082</v>
      </c>
      <c r="H397" s="5">
        <v>10.9522921780456</v>
      </c>
      <c r="I397" s="5">
        <v>10.9522921780456</v>
      </c>
      <c r="J397" s="5">
        <v>10.9522921780456</v>
      </c>
      <c r="K397" s="5">
        <v>0.247324772139145</v>
      </c>
      <c r="L397" s="5">
        <v>0.247324772139145</v>
      </c>
      <c r="M397" s="5">
        <v>0.247324772139145</v>
      </c>
      <c r="N397" s="5">
        <v>10.7049674059064</v>
      </c>
      <c r="O397" s="5">
        <v>10.7049674059064</v>
      </c>
      <c r="P397" s="5">
        <v>10.7049674059064</v>
      </c>
      <c r="Q397" s="5">
        <v>0.0</v>
      </c>
      <c r="R397" s="5">
        <v>0.0</v>
      </c>
      <c r="S397" s="5">
        <v>0.0</v>
      </c>
      <c r="T397" s="5">
        <v>180.174535240127</v>
      </c>
    </row>
    <row r="398">
      <c r="A398" s="5">
        <v>396.0</v>
      </c>
      <c r="B398" s="6">
        <v>44153.0</v>
      </c>
      <c r="C398" s="5">
        <v>169.748979652035</v>
      </c>
      <c r="D398" s="5">
        <v>141.696393815136</v>
      </c>
      <c r="E398" s="5">
        <v>219.794105970056</v>
      </c>
      <c r="F398" s="5">
        <v>169.748979652035</v>
      </c>
      <c r="G398" s="5">
        <v>169.748979652035</v>
      </c>
      <c r="H398" s="5">
        <v>11.7811420510124</v>
      </c>
      <c r="I398" s="5">
        <v>11.7811420510124</v>
      </c>
      <c r="J398" s="5">
        <v>11.7811420510124</v>
      </c>
      <c r="K398" s="5">
        <v>0.608132553627002</v>
      </c>
      <c r="L398" s="5">
        <v>0.608132553627002</v>
      </c>
      <c r="M398" s="5">
        <v>0.608132553627002</v>
      </c>
      <c r="N398" s="5">
        <v>11.1730094973854</v>
      </c>
      <c r="O398" s="5">
        <v>11.1730094973854</v>
      </c>
      <c r="P398" s="5">
        <v>11.1730094973854</v>
      </c>
      <c r="Q398" s="5">
        <v>0.0</v>
      </c>
      <c r="R398" s="5">
        <v>0.0</v>
      </c>
      <c r="S398" s="5">
        <v>0.0</v>
      </c>
      <c r="T398" s="5">
        <v>181.530121703047</v>
      </c>
    </row>
    <row r="399">
      <c r="A399" s="5">
        <v>397.0</v>
      </c>
      <c r="B399" s="6">
        <v>44154.0</v>
      </c>
      <c r="C399" s="5">
        <v>170.275716241988</v>
      </c>
      <c r="D399" s="5">
        <v>141.574310080513</v>
      </c>
      <c r="E399" s="5">
        <v>219.393884384307</v>
      </c>
      <c r="F399" s="5">
        <v>170.275716241988</v>
      </c>
      <c r="G399" s="5">
        <v>170.275716241988</v>
      </c>
      <c r="H399" s="5">
        <v>11.4626546485737</v>
      </c>
      <c r="I399" s="5">
        <v>11.4626546485737</v>
      </c>
      <c r="J399" s="5">
        <v>11.4626546485737</v>
      </c>
      <c r="K399" s="5">
        <v>-0.225417905348687</v>
      </c>
      <c r="L399" s="5">
        <v>-0.225417905348687</v>
      </c>
      <c r="M399" s="5">
        <v>-0.225417905348687</v>
      </c>
      <c r="N399" s="5">
        <v>11.6880725539223</v>
      </c>
      <c r="O399" s="5">
        <v>11.6880725539223</v>
      </c>
      <c r="P399" s="5">
        <v>11.6880725539223</v>
      </c>
      <c r="Q399" s="5">
        <v>0.0</v>
      </c>
      <c r="R399" s="5">
        <v>0.0</v>
      </c>
      <c r="S399" s="5">
        <v>0.0</v>
      </c>
      <c r="T399" s="5">
        <v>181.738370890562</v>
      </c>
    </row>
    <row r="400">
      <c r="A400" s="5">
        <v>398.0</v>
      </c>
      <c r="B400" s="6">
        <v>44155.0</v>
      </c>
      <c r="C400" s="5">
        <v>170.802452831942</v>
      </c>
      <c r="D400" s="5">
        <v>138.57299755521</v>
      </c>
      <c r="E400" s="5">
        <v>223.197349032975</v>
      </c>
      <c r="F400" s="5">
        <v>170.802452831942</v>
      </c>
      <c r="G400" s="5">
        <v>170.802452831942</v>
      </c>
      <c r="H400" s="5">
        <v>11.4995598476474</v>
      </c>
      <c r="I400" s="5">
        <v>11.4995598476474</v>
      </c>
      <c r="J400" s="5">
        <v>11.4995598476474</v>
      </c>
      <c r="K400" s="5">
        <v>-0.739640081280837</v>
      </c>
      <c r="L400" s="5">
        <v>-0.739640081280837</v>
      </c>
      <c r="M400" s="5">
        <v>-0.739640081280837</v>
      </c>
      <c r="N400" s="5">
        <v>12.2391999289283</v>
      </c>
      <c r="O400" s="5">
        <v>12.2391999289283</v>
      </c>
      <c r="P400" s="5">
        <v>12.2391999289283</v>
      </c>
      <c r="Q400" s="5">
        <v>0.0</v>
      </c>
      <c r="R400" s="5">
        <v>0.0</v>
      </c>
      <c r="S400" s="5">
        <v>0.0</v>
      </c>
      <c r="T400" s="5">
        <v>182.302012679589</v>
      </c>
    </row>
    <row r="401">
      <c r="A401" s="5">
        <v>399.0</v>
      </c>
      <c r="B401" s="6">
        <v>44158.0</v>
      </c>
      <c r="C401" s="5">
        <v>172.382662601802</v>
      </c>
      <c r="D401" s="5">
        <v>147.32836853059</v>
      </c>
      <c r="E401" s="5">
        <v>226.637128053712</v>
      </c>
      <c r="F401" s="5">
        <v>172.382662601802</v>
      </c>
      <c r="G401" s="5">
        <v>172.382662601802</v>
      </c>
      <c r="H401" s="5">
        <v>15.1391847770689</v>
      </c>
      <c r="I401" s="5">
        <v>15.1391847770689</v>
      </c>
      <c r="J401" s="5">
        <v>15.1391847770689</v>
      </c>
      <c r="K401" s="5">
        <v>1.16457933345087</v>
      </c>
      <c r="L401" s="5">
        <v>1.16457933345087</v>
      </c>
      <c r="M401" s="5">
        <v>1.16457933345087</v>
      </c>
      <c r="N401" s="5">
        <v>13.974605443618</v>
      </c>
      <c r="O401" s="5">
        <v>13.974605443618</v>
      </c>
      <c r="P401" s="5">
        <v>13.974605443618</v>
      </c>
      <c r="Q401" s="5">
        <v>0.0</v>
      </c>
      <c r="R401" s="5">
        <v>0.0</v>
      </c>
      <c r="S401" s="5">
        <v>0.0</v>
      </c>
      <c r="T401" s="5">
        <v>187.521847378871</v>
      </c>
    </row>
    <row r="402">
      <c r="A402" s="5">
        <v>400.0</v>
      </c>
      <c r="B402" s="6">
        <v>44159.0</v>
      </c>
      <c r="C402" s="5">
        <v>172.909399191755</v>
      </c>
      <c r="D402" s="5">
        <v>149.92631220652</v>
      </c>
      <c r="E402" s="5">
        <v>228.042264996594</v>
      </c>
      <c r="F402" s="5">
        <v>172.909399191755</v>
      </c>
      <c r="G402" s="5">
        <v>172.909399191755</v>
      </c>
      <c r="H402" s="5">
        <v>14.7774369183787</v>
      </c>
      <c r="I402" s="5">
        <v>14.7774369183787</v>
      </c>
      <c r="J402" s="5">
        <v>14.7774369183787</v>
      </c>
      <c r="K402" s="5">
        <v>0.24732477213781</v>
      </c>
      <c r="L402" s="5">
        <v>0.24732477213781</v>
      </c>
      <c r="M402" s="5">
        <v>0.24732477213781</v>
      </c>
      <c r="N402" s="5">
        <v>14.5301121462409</v>
      </c>
      <c r="O402" s="5">
        <v>14.5301121462409</v>
      </c>
      <c r="P402" s="5">
        <v>14.5301121462409</v>
      </c>
      <c r="Q402" s="5">
        <v>0.0</v>
      </c>
      <c r="R402" s="5">
        <v>0.0</v>
      </c>
      <c r="S402" s="5">
        <v>0.0</v>
      </c>
      <c r="T402" s="5">
        <v>187.686836110134</v>
      </c>
    </row>
    <row r="403">
      <c r="A403" s="5">
        <v>401.0</v>
      </c>
      <c r="B403" s="6">
        <v>44160.0</v>
      </c>
      <c r="C403" s="5">
        <v>173.436135781709</v>
      </c>
      <c r="D403" s="5">
        <v>148.261013460883</v>
      </c>
      <c r="E403" s="5">
        <v>226.673615874</v>
      </c>
      <c r="F403" s="5">
        <v>173.436135781709</v>
      </c>
      <c r="G403" s="5">
        <v>173.436135781709</v>
      </c>
      <c r="H403" s="5">
        <v>15.6559227849117</v>
      </c>
      <c r="I403" s="5">
        <v>15.6559227849117</v>
      </c>
      <c r="J403" s="5">
        <v>15.6559227849117</v>
      </c>
      <c r="K403" s="5">
        <v>0.608132553626112</v>
      </c>
      <c r="L403" s="5">
        <v>0.608132553626112</v>
      </c>
      <c r="M403" s="5">
        <v>0.608132553626112</v>
      </c>
      <c r="N403" s="5">
        <v>15.0477902312856</v>
      </c>
      <c r="O403" s="5">
        <v>15.0477902312856</v>
      </c>
      <c r="P403" s="5">
        <v>15.0477902312856</v>
      </c>
      <c r="Q403" s="5">
        <v>0.0</v>
      </c>
      <c r="R403" s="5">
        <v>0.0</v>
      </c>
      <c r="S403" s="5">
        <v>0.0</v>
      </c>
      <c r="T403" s="5">
        <v>189.09205856662</v>
      </c>
    </row>
    <row r="404">
      <c r="A404" s="5">
        <v>402.0</v>
      </c>
      <c r="B404" s="6">
        <v>44162.0</v>
      </c>
      <c r="C404" s="5">
        <v>174.489608961615</v>
      </c>
      <c r="D404" s="5">
        <v>147.783749273206</v>
      </c>
      <c r="E404" s="5">
        <v>230.657734635144</v>
      </c>
      <c r="F404" s="5">
        <v>174.489608961615</v>
      </c>
      <c r="G404" s="5">
        <v>174.489608961615</v>
      </c>
      <c r="H404" s="5">
        <v>15.1687907404337</v>
      </c>
      <c r="I404" s="5">
        <v>15.1687907404337</v>
      </c>
      <c r="J404" s="5">
        <v>15.1687907404337</v>
      </c>
      <c r="K404" s="5">
        <v>-0.739640081281993</v>
      </c>
      <c r="L404" s="5">
        <v>-0.739640081281993</v>
      </c>
      <c r="M404" s="5">
        <v>-0.739640081281993</v>
      </c>
      <c r="N404" s="5">
        <v>15.9084308217157</v>
      </c>
      <c r="O404" s="5">
        <v>15.9084308217157</v>
      </c>
      <c r="P404" s="5">
        <v>15.9084308217157</v>
      </c>
      <c r="Q404" s="5">
        <v>0.0</v>
      </c>
      <c r="R404" s="5">
        <v>0.0</v>
      </c>
      <c r="S404" s="5">
        <v>0.0</v>
      </c>
      <c r="T404" s="5">
        <v>189.658399702049</v>
      </c>
    </row>
    <row r="405">
      <c r="A405" s="5">
        <v>403.0</v>
      </c>
      <c r="B405" s="6">
        <v>44165.0</v>
      </c>
      <c r="C405" s="5">
        <v>176.069818731476</v>
      </c>
      <c r="D405" s="5">
        <v>151.186445987522</v>
      </c>
      <c r="E405" s="5">
        <v>232.267195227997</v>
      </c>
      <c r="F405" s="5">
        <v>176.069818731476</v>
      </c>
      <c r="G405" s="5">
        <v>176.069818731476</v>
      </c>
      <c r="H405" s="5">
        <v>17.7299024423079</v>
      </c>
      <c r="I405" s="5">
        <v>17.7299024423079</v>
      </c>
      <c r="J405" s="5">
        <v>17.7299024423079</v>
      </c>
      <c r="K405" s="5">
        <v>1.16457933345131</v>
      </c>
      <c r="L405" s="5">
        <v>1.16457933345131</v>
      </c>
      <c r="M405" s="5">
        <v>1.16457933345131</v>
      </c>
      <c r="N405" s="5">
        <v>16.5653231088565</v>
      </c>
      <c r="O405" s="5">
        <v>16.5653231088565</v>
      </c>
      <c r="P405" s="5">
        <v>16.5653231088565</v>
      </c>
      <c r="Q405" s="5">
        <v>0.0</v>
      </c>
      <c r="R405" s="5">
        <v>0.0</v>
      </c>
      <c r="S405" s="5">
        <v>0.0</v>
      </c>
      <c r="T405" s="5">
        <v>193.799721173784</v>
      </c>
    </row>
    <row r="406">
      <c r="A406" s="5">
        <v>404.0</v>
      </c>
      <c r="B406" s="6">
        <v>44166.0</v>
      </c>
      <c r="C406" s="5">
        <v>176.596555311522</v>
      </c>
      <c r="D406" s="5">
        <v>155.77112788311</v>
      </c>
      <c r="E406" s="5">
        <v>236.124340470254</v>
      </c>
      <c r="F406" s="5">
        <v>176.596555311522</v>
      </c>
      <c r="G406" s="5">
        <v>176.596555311522</v>
      </c>
      <c r="H406" s="5">
        <v>16.8232752443021</v>
      </c>
      <c r="I406" s="5">
        <v>16.8232752443021</v>
      </c>
      <c r="J406" s="5">
        <v>16.8232752443021</v>
      </c>
      <c r="K406" s="5">
        <v>0.247324772139321</v>
      </c>
      <c r="L406" s="5">
        <v>0.247324772139321</v>
      </c>
      <c r="M406" s="5">
        <v>0.247324772139321</v>
      </c>
      <c r="N406" s="5">
        <v>16.5759504721627</v>
      </c>
      <c r="O406" s="5">
        <v>16.5759504721627</v>
      </c>
      <c r="P406" s="5">
        <v>16.5759504721627</v>
      </c>
      <c r="Q406" s="5">
        <v>0.0</v>
      </c>
      <c r="R406" s="5">
        <v>0.0</v>
      </c>
      <c r="S406" s="5">
        <v>0.0</v>
      </c>
      <c r="T406" s="5">
        <v>193.419830555824</v>
      </c>
    </row>
    <row r="407">
      <c r="A407" s="5">
        <v>405.0</v>
      </c>
      <c r="B407" s="6">
        <v>44167.0</v>
      </c>
      <c r="C407" s="5">
        <v>177.123291891568</v>
      </c>
      <c r="D407" s="5">
        <v>151.528618128926</v>
      </c>
      <c r="E407" s="5">
        <v>234.738097945924</v>
      </c>
      <c r="F407" s="5">
        <v>177.123291891568</v>
      </c>
      <c r="G407" s="5">
        <v>177.123291891568</v>
      </c>
      <c r="H407" s="5">
        <v>17.0813764753235</v>
      </c>
      <c r="I407" s="5">
        <v>17.0813764753235</v>
      </c>
      <c r="J407" s="5">
        <v>17.0813764753235</v>
      </c>
      <c r="K407" s="5">
        <v>0.608132553627891</v>
      </c>
      <c r="L407" s="5">
        <v>0.608132553627891</v>
      </c>
      <c r="M407" s="5">
        <v>0.608132553627891</v>
      </c>
      <c r="N407" s="5">
        <v>16.4732439216956</v>
      </c>
      <c r="O407" s="5">
        <v>16.4732439216956</v>
      </c>
      <c r="P407" s="5">
        <v>16.4732439216956</v>
      </c>
      <c r="Q407" s="5">
        <v>0.0</v>
      </c>
      <c r="R407" s="5">
        <v>0.0</v>
      </c>
      <c r="S407" s="5">
        <v>0.0</v>
      </c>
      <c r="T407" s="5">
        <v>194.204668366892</v>
      </c>
    </row>
    <row r="408">
      <c r="A408" s="5">
        <v>406.0</v>
      </c>
      <c r="B408" s="6">
        <v>44168.0</v>
      </c>
      <c r="C408" s="5">
        <v>177.650028471615</v>
      </c>
      <c r="D408" s="5">
        <v>152.466764006949</v>
      </c>
      <c r="E408" s="5">
        <v>235.853820495185</v>
      </c>
      <c r="F408" s="5">
        <v>177.650028471615</v>
      </c>
      <c r="G408" s="5">
        <v>177.650028471615</v>
      </c>
      <c r="H408" s="5">
        <v>16.0305826726684</v>
      </c>
      <c r="I408" s="5">
        <v>16.0305826726684</v>
      </c>
      <c r="J408" s="5">
        <v>16.0305826726684</v>
      </c>
      <c r="K408" s="5">
        <v>-0.225417905351231</v>
      </c>
      <c r="L408" s="5">
        <v>-0.225417905351231</v>
      </c>
      <c r="M408" s="5">
        <v>-0.225417905351231</v>
      </c>
      <c r="N408" s="5">
        <v>16.2560005780197</v>
      </c>
      <c r="O408" s="5">
        <v>16.2560005780197</v>
      </c>
      <c r="P408" s="5">
        <v>16.2560005780197</v>
      </c>
      <c r="Q408" s="5">
        <v>0.0</v>
      </c>
      <c r="R408" s="5">
        <v>0.0</v>
      </c>
      <c r="S408" s="5">
        <v>0.0</v>
      </c>
      <c r="T408" s="5">
        <v>193.680611144283</v>
      </c>
    </row>
    <row r="409">
      <c r="A409" s="5">
        <v>407.0</v>
      </c>
      <c r="B409" s="6">
        <v>44169.0</v>
      </c>
      <c r="C409" s="5">
        <v>178.176765051661</v>
      </c>
      <c r="D409" s="5">
        <v>151.980983354846</v>
      </c>
      <c r="E409" s="5">
        <v>233.346499574845</v>
      </c>
      <c r="F409" s="5">
        <v>178.176765051661</v>
      </c>
      <c r="G409" s="5">
        <v>178.176765051661</v>
      </c>
      <c r="H409" s="5">
        <v>15.1864274302278</v>
      </c>
      <c r="I409" s="5">
        <v>15.1864274302278</v>
      </c>
      <c r="J409" s="5">
        <v>15.1864274302278</v>
      </c>
      <c r="K409" s="5">
        <v>-0.739640081281087</v>
      </c>
      <c r="L409" s="5">
        <v>-0.739640081281087</v>
      </c>
      <c r="M409" s="5">
        <v>-0.739640081281087</v>
      </c>
      <c r="N409" s="5">
        <v>15.9260675115089</v>
      </c>
      <c r="O409" s="5">
        <v>15.9260675115089</v>
      </c>
      <c r="P409" s="5">
        <v>15.9260675115089</v>
      </c>
      <c r="Q409" s="5">
        <v>0.0</v>
      </c>
      <c r="R409" s="5">
        <v>0.0</v>
      </c>
      <c r="S409" s="5">
        <v>0.0</v>
      </c>
      <c r="T409" s="5">
        <v>193.363192481889</v>
      </c>
    </row>
    <row r="410">
      <c r="A410" s="5">
        <v>408.0</v>
      </c>
      <c r="B410" s="6">
        <v>44172.0</v>
      </c>
      <c r="C410" s="5">
        <v>179.756974791801</v>
      </c>
      <c r="D410" s="5">
        <v>151.045677446929</v>
      </c>
      <c r="E410" s="5">
        <v>234.64612181194</v>
      </c>
      <c r="F410" s="5">
        <v>179.756974791801</v>
      </c>
      <c r="G410" s="5">
        <v>179.756974791801</v>
      </c>
      <c r="H410" s="5">
        <v>15.488678901986</v>
      </c>
      <c r="I410" s="5">
        <v>15.488678901986</v>
      </c>
      <c r="J410" s="5">
        <v>15.488678901986</v>
      </c>
      <c r="K410" s="5">
        <v>1.16457933345003</v>
      </c>
      <c r="L410" s="5">
        <v>1.16457933345003</v>
      </c>
      <c r="M410" s="5">
        <v>1.16457933345003</v>
      </c>
      <c r="N410" s="5">
        <v>14.3240995685359</v>
      </c>
      <c r="O410" s="5">
        <v>14.3240995685359</v>
      </c>
      <c r="P410" s="5">
        <v>14.3240995685359</v>
      </c>
      <c r="Q410" s="5">
        <v>0.0</v>
      </c>
      <c r="R410" s="5">
        <v>0.0</v>
      </c>
      <c r="S410" s="5">
        <v>0.0</v>
      </c>
      <c r="T410" s="5">
        <v>195.245653693787</v>
      </c>
    </row>
    <row r="411">
      <c r="A411" s="5">
        <v>409.0</v>
      </c>
      <c r="B411" s="6">
        <v>44173.0</v>
      </c>
      <c r="C411" s="5">
        <v>180.283711371847</v>
      </c>
      <c r="D411" s="5">
        <v>153.263790334019</v>
      </c>
      <c r="E411" s="5">
        <v>237.51626566319</v>
      </c>
      <c r="F411" s="5">
        <v>180.283711371847</v>
      </c>
      <c r="G411" s="5">
        <v>180.283711371847</v>
      </c>
      <c r="H411" s="5">
        <v>13.8689596467154</v>
      </c>
      <c r="I411" s="5">
        <v>13.8689596467154</v>
      </c>
      <c r="J411" s="5">
        <v>13.8689596467154</v>
      </c>
      <c r="K411" s="5">
        <v>0.247324772137987</v>
      </c>
      <c r="L411" s="5">
        <v>0.247324772137987</v>
      </c>
      <c r="M411" s="5">
        <v>0.247324772137987</v>
      </c>
      <c r="N411" s="5">
        <v>13.6216348745774</v>
      </c>
      <c r="O411" s="5">
        <v>13.6216348745774</v>
      </c>
      <c r="P411" s="5">
        <v>13.6216348745774</v>
      </c>
      <c r="Q411" s="5">
        <v>0.0</v>
      </c>
      <c r="R411" s="5">
        <v>0.0</v>
      </c>
      <c r="S411" s="5">
        <v>0.0</v>
      </c>
      <c r="T411" s="5">
        <v>194.152671018562</v>
      </c>
    </row>
    <row r="412">
      <c r="A412" s="5">
        <v>410.0</v>
      </c>
      <c r="B412" s="6">
        <v>44174.0</v>
      </c>
      <c r="C412" s="5">
        <v>180.810447951893</v>
      </c>
      <c r="D412" s="5">
        <v>155.031636530294</v>
      </c>
      <c r="E412" s="5">
        <v>237.73167509873</v>
      </c>
      <c r="F412" s="5">
        <v>180.810447951893</v>
      </c>
      <c r="G412" s="5">
        <v>180.810447951893</v>
      </c>
      <c r="H412" s="5">
        <v>13.4671340667432</v>
      </c>
      <c r="I412" s="5">
        <v>13.4671340667432</v>
      </c>
      <c r="J412" s="5">
        <v>13.4671340667432</v>
      </c>
      <c r="K412" s="5">
        <v>0.608132553627001</v>
      </c>
      <c r="L412" s="5">
        <v>0.608132553627001</v>
      </c>
      <c r="M412" s="5">
        <v>0.608132553627001</v>
      </c>
      <c r="N412" s="5">
        <v>12.8590015131162</v>
      </c>
      <c r="O412" s="5">
        <v>12.8590015131162</v>
      </c>
      <c r="P412" s="5">
        <v>12.8590015131162</v>
      </c>
      <c r="Q412" s="5">
        <v>0.0</v>
      </c>
      <c r="R412" s="5">
        <v>0.0</v>
      </c>
      <c r="S412" s="5">
        <v>0.0</v>
      </c>
      <c r="T412" s="5">
        <v>194.277582018637</v>
      </c>
    </row>
    <row r="413">
      <c r="A413" s="5">
        <v>411.0</v>
      </c>
      <c r="B413" s="6">
        <v>44175.0</v>
      </c>
      <c r="C413" s="5">
        <v>181.33718453194</v>
      </c>
      <c r="D413" s="5">
        <v>149.604000446973</v>
      </c>
      <c r="E413" s="5">
        <v>232.759405184519</v>
      </c>
      <c r="F413" s="5">
        <v>181.33718453194</v>
      </c>
      <c r="G413" s="5">
        <v>181.33718453194</v>
      </c>
      <c r="H413" s="5">
        <v>11.8282637017184</v>
      </c>
      <c r="I413" s="5">
        <v>11.8282637017184</v>
      </c>
      <c r="J413" s="5">
        <v>11.8282637017184</v>
      </c>
      <c r="K413" s="5">
        <v>-0.225417905348883</v>
      </c>
      <c r="L413" s="5">
        <v>-0.225417905348883</v>
      </c>
      <c r="M413" s="5">
        <v>-0.225417905348883</v>
      </c>
      <c r="N413" s="5">
        <v>12.0536816070673</v>
      </c>
      <c r="O413" s="5">
        <v>12.0536816070673</v>
      </c>
      <c r="P413" s="5">
        <v>12.0536816070673</v>
      </c>
      <c r="Q413" s="5">
        <v>0.0</v>
      </c>
      <c r="R413" s="5">
        <v>0.0</v>
      </c>
      <c r="S413" s="5">
        <v>0.0</v>
      </c>
      <c r="T413" s="5">
        <v>193.165448233658</v>
      </c>
    </row>
    <row r="414">
      <c r="A414" s="5">
        <v>412.0</v>
      </c>
      <c r="B414" s="6">
        <v>44176.0</v>
      </c>
      <c r="C414" s="5">
        <v>181.863921111986</v>
      </c>
      <c r="D414" s="5">
        <v>154.324534095162</v>
      </c>
      <c r="E414" s="5">
        <v>233.05749194938</v>
      </c>
      <c r="F414" s="5">
        <v>181.863921111986</v>
      </c>
      <c r="G414" s="5">
        <v>181.863921111986</v>
      </c>
      <c r="H414" s="5">
        <v>10.4849369979422</v>
      </c>
      <c r="I414" s="5">
        <v>10.4849369979422</v>
      </c>
      <c r="J414" s="5">
        <v>10.4849369979422</v>
      </c>
      <c r="K414" s="5">
        <v>-0.739640081282243</v>
      </c>
      <c r="L414" s="5">
        <v>-0.739640081282243</v>
      </c>
      <c r="M414" s="5">
        <v>-0.739640081282243</v>
      </c>
      <c r="N414" s="5">
        <v>11.2245770792244</v>
      </c>
      <c r="O414" s="5">
        <v>11.2245770792244</v>
      </c>
      <c r="P414" s="5">
        <v>11.2245770792244</v>
      </c>
      <c r="Q414" s="5">
        <v>0.0</v>
      </c>
      <c r="R414" s="5">
        <v>0.0</v>
      </c>
      <c r="S414" s="5">
        <v>0.0</v>
      </c>
      <c r="T414" s="5">
        <v>192.348858109928</v>
      </c>
    </row>
    <row r="415">
      <c r="A415" s="5">
        <v>413.0</v>
      </c>
      <c r="B415" s="6">
        <v>44179.0</v>
      </c>
      <c r="C415" s="5">
        <v>183.444130852126</v>
      </c>
      <c r="D415" s="5">
        <v>155.422211362432</v>
      </c>
      <c r="E415" s="5">
        <v>234.265159362449</v>
      </c>
      <c r="F415" s="5">
        <v>183.444130852126</v>
      </c>
      <c r="G415" s="5">
        <v>183.444130852126</v>
      </c>
      <c r="H415" s="5">
        <v>9.95868189633661</v>
      </c>
      <c r="I415" s="5">
        <v>9.95868189633661</v>
      </c>
      <c r="J415" s="5">
        <v>9.95868189633661</v>
      </c>
      <c r="K415" s="5">
        <v>1.16457933345026</v>
      </c>
      <c r="L415" s="5">
        <v>1.16457933345026</v>
      </c>
      <c r="M415" s="5">
        <v>1.16457933345026</v>
      </c>
      <c r="N415" s="5">
        <v>8.79410256288634</v>
      </c>
      <c r="O415" s="5">
        <v>8.79410256288634</v>
      </c>
      <c r="P415" s="5">
        <v>8.79410256288634</v>
      </c>
      <c r="Q415" s="5">
        <v>0.0</v>
      </c>
      <c r="R415" s="5">
        <v>0.0</v>
      </c>
      <c r="S415" s="5">
        <v>0.0</v>
      </c>
      <c r="T415" s="5">
        <v>193.402812748462</v>
      </c>
    </row>
    <row r="416">
      <c r="A416" s="5">
        <v>414.0</v>
      </c>
      <c r="B416" s="6">
        <v>44180.0</v>
      </c>
      <c r="C416" s="5">
        <v>183.970867432172</v>
      </c>
      <c r="D416" s="5">
        <v>150.549159179282</v>
      </c>
      <c r="E416" s="5">
        <v>230.061864654639</v>
      </c>
      <c r="F416" s="5">
        <v>183.970867432172</v>
      </c>
      <c r="G416" s="5">
        <v>183.970867432172</v>
      </c>
      <c r="H416" s="5">
        <v>8.31641390417652</v>
      </c>
      <c r="I416" s="5">
        <v>8.31641390417652</v>
      </c>
      <c r="J416" s="5">
        <v>8.31641390417652</v>
      </c>
      <c r="K416" s="5">
        <v>0.247324772139372</v>
      </c>
      <c r="L416" s="5">
        <v>0.247324772139372</v>
      </c>
      <c r="M416" s="5">
        <v>0.247324772139372</v>
      </c>
      <c r="N416" s="5">
        <v>8.06908913203715</v>
      </c>
      <c r="O416" s="5">
        <v>8.06908913203715</v>
      </c>
      <c r="P416" s="5">
        <v>8.06908913203715</v>
      </c>
      <c r="Q416" s="5">
        <v>0.0</v>
      </c>
      <c r="R416" s="5">
        <v>0.0</v>
      </c>
      <c r="S416" s="5">
        <v>0.0</v>
      </c>
      <c r="T416" s="5">
        <v>192.287281336348</v>
      </c>
    </row>
    <row r="417">
      <c r="A417" s="5">
        <v>415.0</v>
      </c>
      <c r="B417" s="6">
        <v>44181.0</v>
      </c>
      <c r="C417" s="5">
        <v>184.497604012218</v>
      </c>
      <c r="D417" s="5">
        <v>152.02613515988</v>
      </c>
      <c r="E417" s="5">
        <v>232.964002862591</v>
      </c>
      <c r="F417" s="5">
        <v>184.497604012218</v>
      </c>
      <c r="G417" s="5">
        <v>184.497604012218</v>
      </c>
      <c r="H417" s="5">
        <v>8.02578244653815</v>
      </c>
      <c r="I417" s="5">
        <v>8.02578244653815</v>
      </c>
      <c r="J417" s="5">
        <v>8.02578244653815</v>
      </c>
      <c r="K417" s="5">
        <v>0.60813255362878</v>
      </c>
      <c r="L417" s="5">
        <v>0.60813255362878</v>
      </c>
      <c r="M417" s="5">
        <v>0.60813255362878</v>
      </c>
      <c r="N417" s="5">
        <v>7.41764989290937</v>
      </c>
      <c r="O417" s="5">
        <v>7.41764989290937</v>
      </c>
      <c r="P417" s="5">
        <v>7.41764989290937</v>
      </c>
      <c r="Q417" s="5">
        <v>0.0</v>
      </c>
      <c r="R417" s="5">
        <v>0.0</v>
      </c>
      <c r="S417" s="5">
        <v>0.0</v>
      </c>
      <c r="T417" s="5">
        <v>192.523386458757</v>
      </c>
    </row>
    <row r="418">
      <c r="A418" s="5">
        <v>416.0</v>
      </c>
      <c r="B418" s="6">
        <v>44182.0</v>
      </c>
      <c r="C418" s="5">
        <v>185.024340592265</v>
      </c>
      <c r="D418" s="5">
        <v>151.269354933337</v>
      </c>
      <c r="E418" s="5">
        <v>230.747362132152</v>
      </c>
      <c r="F418" s="5">
        <v>185.024340592265</v>
      </c>
      <c r="G418" s="5">
        <v>185.024340592265</v>
      </c>
      <c r="H418" s="5">
        <v>6.63058808710104</v>
      </c>
      <c r="I418" s="5">
        <v>6.63058808710104</v>
      </c>
      <c r="J418" s="5">
        <v>6.63058808710104</v>
      </c>
      <c r="K418" s="5">
        <v>-0.225417905348462</v>
      </c>
      <c r="L418" s="5">
        <v>-0.225417905348462</v>
      </c>
      <c r="M418" s="5">
        <v>-0.225417905348462</v>
      </c>
      <c r="N418" s="5">
        <v>6.8560059924495</v>
      </c>
      <c r="O418" s="5">
        <v>6.8560059924495</v>
      </c>
      <c r="P418" s="5">
        <v>6.8560059924495</v>
      </c>
      <c r="Q418" s="5">
        <v>0.0</v>
      </c>
      <c r="R418" s="5">
        <v>0.0</v>
      </c>
      <c r="S418" s="5">
        <v>0.0</v>
      </c>
      <c r="T418" s="5">
        <v>191.654928679366</v>
      </c>
    </row>
    <row r="419">
      <c r="A419" s="5">
        <v>417.0</v>
      </c>
      <c r="B419" s="6">
        <v>44183.0</v>
      </c>
      <c r="C419" s="5">
        <v>185.551077172311</v>
      </c>
      <c r="D419" s="5">
        <v>150.619650552681</v>
      </c>
      <c r="E419" s="5">
        <v>232.144997348256</v>
      </c>
      <c r="F419" s="5">
        <v>185.551077172311</v>
      </c>
      <c r="G419" s="5">
        <v>185.551077172311</v>
      </c>
      <c r="H419" s="5">
        <v>5.65846934563172</v>
      </c>
      <c r="I419" s="5">
        <v>5.65846934563172</v>
      </c>
      <c r="J419" s="5">
        <v>5.65846934563172</v>
      </c>
      <c r="K419" s="5">
        <v>-0.739640081283399</v>
      </c>
      <c r="L419" s="5">
        <v>-0.739640081283399</v>
      </c>
      <c r="M419" s="5">
        <v>-0.739640081283399</v>
      </c>
      <c r="N419" s="5">
        <v>6.39810942691512</v>
      </c>
      <c r="O419" s="5">
        <v>6.39810942691512</v>
      </c>
      <c r="P419" s="5">
        <v>6.39810942691512</v>
      </c>
      <c r="Q419" s="5">
        <v>0.0</v>
      </c>
      <c r="R419" s="5">
        <v>0.0</v>
      </c>
      <c r="S419" s="5">
        <v>0.0</v>
      </c>
      <c r="T419" s="5">
        <v>191.209546517943</v>
      </c>
    </row>
    <row r="420">
      <c r="A420" s="5">
        <v>418.0</v>
      </c>
      <c r="B420" s="6">
        <v>44186.0</v>
      </c>
      <c r="C420" s="5">
        <v>187.13128691245</v>
      </c>
      <c r="D420" s="5">
        <v>153.960722095648</v>
      </c>
      <c r="E420" s="5">
        <v>233.679803245887</v>
      </c>
      <c r="F420" s="5">
        <v>187.13128691245</v>
      </c>
      <c r="G420" s="5">
        <v>187.13128691245</v>
      </c>
      <c r="H420" s="5">
        <v>6.90873246414464</v>
      </c>
      <c r="I420" s="5">
        <v>6.90873246414464</v>
      </c>
      <c r="J420" s="5">
        <v>6.90873246414464</v>
      </c>
      <c r="K420" s="5">
        <v>1.1645793334505</v>
      </c>
      <c r="L420" s="5">
        <v>1.1645793334505</v>
      </c>
      <c r="M420" s="5">
        <v>1.1645793334505</v>
      </c>
      <c r="N420" s="5">
        <v>5.74415313069414</v>
      </c>
      <c r="O420" s="5">
        <v>5.74415313069414</v>
      </c>
      <c r="P420" s="5">
        <v>5.74415313069414</v>
      </c>
      <c r="Q420" s="5">
        <v>0.0</v>
      </c>
      <c r="R420" s="5">
        <v>0.0</v>
      </c>
      <c r="S420" s="5">
        <v>0.0</v>
      </c>
      <c r="T420" s="5">
        <v>194.040019376595</v>
      </c>
    </row>
    <row r="421">
      <c r="A421" s="5">
        <v>419.0</v>
      </c>
      <c r="B421" s="6">
        <v>44187.0</v>
      </c>
      <c r="C421" s="5">
        <v>187.658023492497</v>
      </c>
      <c r="D421" s="5">
        <v>156.62636747509</v>
      </c>
      <c r="E421" s="5">
        <v>237.41485961704</v>
      </c>
      <c r="F421" s="5">
        <v>187.658023492497</v>
      </c>
      <c r="G421" s="5">
        <v>187.658023492497</v>
      </c>
      <c r="H421" s="5">
        <v>6.02969601997828</v>
      </c>
      <c r="I421" s="5">
        <v>6.02969601997828</v>
      </c>
      <c r="J421" s="5">
        <v>6.02969601997828</v>
      </c>
      <c r="K421" s="5">
        <v>0.247324772139461</v>
      </c>
      <c r="L421" s="5">
        <v>0.247324772139461</v>
      </c>
      <c r="M421" s="5">
        <v>0.247324772139461</v>
      </c>
      <c r="N421" s="5">
        <v>5.78237124783881</v>
      </c>
      <c r="O421" s="5">
        <v>5.78237124783881</v>
      </c>
      <c r="P421" s="5">
        <v>5.78237124783881</v>
      </c>
      <c r="Q421" s="5">
        <v>0.0</v>
      </c>
      <c r="R421" s="5">
        <v>0.0</v>
      </c>
      <c r="S421" s="5">
        <v>0.0</v>
      </c>
      <c r="T421" s="5">
        <v>193.687719512475</v>
      </c>
    </row>
    <row r="422">
      <c r="A422" s="5">
        <v>420.0</v>
      </c>
      <c r="B422" s="6">
        <v>44188.0</v>
      </c>
      <c r="C422" s="5">
        <v>188.184760072543</v>
      </c>
      <c r="D422" s="5">
        <v>153.492059825925</v>
      </c>
      <c r="E422" s="5">
        <v>239.532786321744</v>
      </c>
      <c r="F422" s="5">
        <v>188.184760072543</v>
      </c>
      <c r="G422" s="5">
        <v>188.184760072543</v>
      </c>
      <c r="H422" s="5">
        <v>6.55630019276205</v>
      </c>
      <c r="I422" s="5">
        <v>6.55630019276205</v>
      </c>
      <c r="J422" s="5">
        <v>6.55630019276205</v>
      </c>
      <c r="K422" s="5">
        <v>0.608132553625222</v>
      </c>
      <c r="L422" s="5">
        <v>0.608132553625222</v>
      </c>
      <c r="M422" s="5">
        <v>0.608132553625222</v>
      </c>
      <c r="N422" s="5">
        <v>5.94816763913683</v>
      </c>
      <c r="O422" s="5">
        <v>5.94816763913683</v>
      </c>
      <c r="P422" s="5">
        <v>5.94816763913683</v>
      </c>
      <c r="Q422" s="5">
        <v>0.0</v>
      </c>
      <c r="R422" s="5">
        <v>0.0</v>
      </c>
      <c r="S422" s="5">
        <v>0.0</v>
      </c>
      <c r="T422" s="5">
        <v>194.741060265305</v>
      </c>
    </row>
    <row r="423">
      <c r="A423" s="5">
        <v>421.0</v>
      </c>
      <c r="B423" s="6">
        <v>44189.0</v>
      </c>
      <c r="C423" s="5">
        <v>188.71149665259</v>
      </c>
      <c r="D423" s="5">
        <v>153.265389070448</v>
      </c>
      <c r="E423" s="5">
        <v>232.137118756395</v>
      </c>
      <c r="F423" s="5">
        <v>188.71149665259</v>
      </c>
      <c r="G423" s="5">
        <v>188.71149665259</v>
      </c>
      <c r="H423" s="5">
        <v>6.01051088963413</v>
      </c>
      <c r="I423" s="5">
        <v>6.01051088963413</v>
      </c>
      <c r="J423" s="5">
        <v>6.01051088963413</v>
      </c>
      <c r="K423" s="5">
        <v>-0.225417905348041</v>
      </c>
      <c r="L423" s="5">
        <v>-0.225417905348041</v>
      </c>
      <c r="M423" s="5">
        <v>-0.225417905348041</v>
      </c>
      <c r="N423" s="5">
        <v>6.23592879498217</v>
      </c>
      <c r="O423" s="5">
        <v>6.23592879498217</v>
      </c>
      <c r="P423" s="5">
        <v>6.23592879498217</v>
      </c>
      <c r="Q423" s="5">
        <v>0.0</v>
      </c>
      <c r="R423" s="5">
        <v>0.0</v>
      </c>
      <c r="S423" s="5">
        <v>0.0</v>
      </c>
      <c r="T423" s="5">
        <v>194.722007542224</v>
      </c>
    </row>
    <row r="424">
      <c r="A424" s="5">
        <v>422.0</v>
      </c>
      <c r="B424" s="6">
        <v>44193.0</v>
      </c>
      <c r="C424" s="5">
        <v>190.818442972775</v>
      </c>
      <c r="D424" s="5">
        <v>159.645319071446</v>
      </c>
      <c r="E424" s="5">
        <v>240.92268486273</v>
      </c>
      <c r="F424" s="5">
        <v>190.818442972775</v>
      </c>
      <c r="G424" s="5">
        <v>190.818442972775</v>
      </c>
      <c r="H424" s="5">
        <v>9.54461506305517</v>
      </c>
      <c r="I424" s="5">
        <v>9.54461506305517</v>
      </c>
      <c r="J424" s="5">
        <v>9.54461506305517</v>
      </c>
      <c r="K424" s="5">
        <v>1.16457933345083</v>
      </c>
      <c r="L424" s="5">
        <v>1.16457933345083</v>
      </c>
      <c r="M424" s="5">
        <v>1.16457933345083</v>
      </c>
      <c r="N424" s="5">
        <v>8.38003572960433</v>
      </c>
      <c r="O424" s="5">
        <v>8.38003572960433</v>
      </c>
      <c r="P424" s="5">
        <v>8.38003572960433</v>
      </c>
      <c r="Q424" s="5">
        <v>0.0</v>
      </c>
      <c r="R424" s="5">
        <v>0.0</v>
      </c>
      <c r="S424" s="5">
        <v>0.0</v>
      </c>
      <c r="T424" s="5">
        <v>200.363058035831</v>
      </c>
    </row>
    <row r="425">
      <c r="A425" s="5">
        <v>423.0</v>
      </c>
      <c r="B425" s="6">
        <v>44194.0</v>
      </c>
      <c r="C425" s="5">
        <v>191.345179552822</v>
      </c>
      <c r="D425" s="5">
        <v>160.300242259865</v>
      </c>
      <c r="E425" s="5">
        <v>236.661998016849</v>
      </c>
      <c r="F425" s="5">
        <v>191.345179552822</v>
      </c>
      <c r="G425" s="5">
        <v>191.345179552822</v>
      </c>
      <c r="H425" s="5">
        <v>9.33068517834062</v>
      </c>
      <c r="I425" s="5">
        <v>9.33068517834062</v>
      </c>
      <c r="J425" s="5">
        <v>9.33068517834062</v>
      </c>
      <c r="K425" s="5">
        <v>0.247324772139549</v>
      </c>
      <c r="L425" s="5">
        <v>0.247324772139549</v>
      </c>
      <c r="M425" s="5">
        <v>0.247324772139549</v>
      </c>
      <c r="N425" s="5">
        <v>9.08336040620107</v>
      </c>
      <c r="O425" s="5">
        <v>9.08336040620107</v>
      </c>
      <c r="P425" s="5">
        <v>9.08336040620107</v>
      </c>
      <c r="Q425" s="5">
        <v>0.0</v>
      </c>
      <c r="R425" s="5">
        <v>0.0</v>
      </c>
      <c r="S425" s="5">
        <v>0.0</v>
      </c>
      <c r="T425" s="5">
        <v>200.675864731162</v>
      </c>
    </row>
    <row r="426">
      <c r="A426" s="5">
        <v>424.0</v>
      </c>
      <c r="B426" s="6">
        <v>44195.0</v>
      </c>
      <c r="C426" s="5">
        <v>191.871916132868</v>
      </c>
      <c r="D426" s="5">
        <v>162.434874764685</v>
      </c>
      <c r="E426" s="5">
        <v>242.921794213059</v>
      </c>
      <c r="F426" s="5">
        <v>191.871916132868</v>
      </c>
      <c r="G426" s="5">
        <v>191.871916132868</v>
      </c>
      <c r="H426" s="5">
        <v>10.4220016901734</v>
      </c>
      <c r="I426" s="5">
        <v>10.4220016901734</v>
      </c>
      <c r="J426" s="5">
        <v>10.4220016901734</v>
      </c>
      <c r="K426" s="5">
        <v>0.608132553627001</v>
      </c>
      <c r="L426" s="5">
        <v>0.608132553627001</v>
      </c>
      <c r="M426" s="5">
        <v>0.608132553627001</v>
      </c>
      <c r="N426" s="5">
        <v>9.81386913654649</v>
      </c>
      <c r="O426" s="5">
        <v>9.81386913654649</v>
      </c>
      <c r="P426" s="5">
        <v>9.81386913654649</v>
      </c>
      <c r="Q426" s="5">
        <v>0.0</v>
      </c>
      <c r="R426" s="5">
        <v>0.0</v>
      </c>
      <c r="S426" s="5">
        <v>0.0</v>
      </c>
      <c r="T426" s="5">
        <v>202.293917823042</v>
      </c>
    </row>
    <row r="427">
      <c r="A427" s="5">
        <v>425.0</v>
      </c>
      <c r="B427" s="6">
        <v>44196.0</v>
      </c>
      <c r="C427" s="5">
        <v>192.398652712915</v>
      </c>
      <c r="D427" s="5">
        <v>164.388331758611</v>
      </c>
      <c r="E427" s="5">
        <v>241.950286250258</v>
      </c>
      <c r="F427" s="5">
        <v>192.398652712915</v>
      </c>
      <c r="G427" s="5">
        <v>192.398652712915</v>
      </c>
      <c r="H427" s="5">
        <v>10.3240642805747</v>
      </c>
      <c r="I427" s="5">
        <v>10.3240642805747</v>
      </c>
      <c r="J427" s="5">
        <v>10.3240642805747</v>
      </c>
      <c r="K427" s="5">
        <v>-0.225417905345694</v>
      </c>
      <c r="L427" s="5">
        <v>-0.225417905345694</v>
      </c>
      <c r="M427" s="5">
        <v>-0.225417905345694</v>
      </c>
      <c r="N427" s="5">
        <v>10.5494821859204</v>
      </c>
      <c r="O427" s="5">
        <v>10.5494821859204</v>
      </c>
      <c r="P427" s="5">
        <v>10.5494821859204</v>
      </c>
      <c r="Q427" s="5">
        <v>0.0</v>
      </c>
      <c r="R427" s="5">
        <v>0.0</v>
      </c>
      <c r="S427" s="5">
        <v>0.0</v>
      </c>
      <c r="T427" s="5">
        <v>202.722716993489</v>
      </c>
    </row>
    <row r="428">
      <c r="A428" s="5">
        <v>426.0</v>
      </c>
      <c r="B428" s="6">
        <v>44200.0</v>
      </c>
      <c r="C428" s="5">
        <v>194.5055990331</v>
      </c>
      <c r="D428" s="5">
        <v>169.144819765941</v>
      </c>
      <c r="E428" s="5">
        <v>247.098153128214</v>
      </c>
      <c r="F428" s="5">
        <v>194.5055990331</v>
      </c>
      <c r="G428" s="5">
        <v>194.5055990331</v>
      </c>
      <c r="H428" s="5">
        <v>14.2677614019597</v>
      </c>
      <c r="I428" s="5">
        <v>14.2677614019597</v>
      </c>
      <c r="J428" s="5">
        <v>14.2677614019597</v>
      </c>
      <c r="K428" s="5">
        <v>1.16457933345117</v>
      </c>
      <c r="L428" s="5">
        <v>1.16457933345117</v>
      </c>
      <c r="M428" s="5">
        <v>1.16457933345117</v>
      </c>
      <c r="N428" s="5">
        <v>13.1031820685085</v>
      </c>
      <c r="O428" s="5">
        <v>13.1031820685085</v>
      </c>
      <c r="P428" s="5">
        <v>13.1031820685085</v>
      </c>
      <c r="Q428" s="5">
        <v>0.0</v>
      </c>
      <c r="R428" s="5">
        <v>0.0</v>
      </c>
      <c r="S428" s="5">
        <v>0.0</v>
      </c>
      <c r="T428" s="5">
        <v>208.77336043506</v>
      </c>
    </row>
    <row r="429">
      <c r="A429" s="5">
        <v>427.0</v>
      </c>
      <c r="B429" s="6">
        <v>44201.0</v>
      </c>
      <c r="C429" s="5">
        <v>195.032335613147</v>
      </c>
      <c r="D429" s="5">
        <v>169.367418110238</v>
      </c>
      <c r="E429" s="5">
        <v>250.510830286405</v>
      </c>
      <c r="F429" s="5">
        <v>195.032335613147</v>
      </c>
      <c r="G429" s="5">
        <v>195.032335613147</v>
      </c>
      <c r="H429" s="5">
        <v>13.7908224298456</v>
      </c>
      <c r="I429" s="5">
        <v>13.7908224298456</v>
      </c>
      <c r="J429" s="5">
        <v>13.7908224298456</v>
      </c>
      <c r="K429" s="5">
        <v>0.247324772138215</v>
      </c>
      <c r="L429" s="5">
        <v>0.247324772138215</v>
      </c>
      <c r="M429" s="5">
        <v>0.247324772138215</v>
      </c>
      <c r="N429" s="5">
        <v>13.5434976577074</v>
      </c>
      <c r="O429" s="5">
        <v>13.5434976577074</v>
      </c>
      <c r="P429" s="5">
        <v>13.5434976577074</v>
      </c>
      <c r="Q429" s="5">
        <v>0.0</v>
      </c>
      <c r="R429" s="5">
        <v>0.0</v>
      </c>
      <c r="S429" s="5">
        <v>0.0</v>
      </c>
      <c r="T429" s="5">
        <v>208.823158042992</v>
      </c>
    </row>
    <row r="430">
      <c r="A430" s="5">
        <v>428.0</v>
      </c>
      <c r="B430" s="6">
        <v>44202.0</v>
      </c>
      <c r="C430" s="5">
        <v>195.559072193193</v>
      </c>
      <c r="D430" s="5">
        <v>169.195156568156</v>
      </c>
      <c r="E430" s="5">
        <v>249.96052223214</v>
      </c>
      <c r="F430" s="5">
        <v>195.559072193193</v>
      </c>
      <c r="G430" s="5">
        <v>195.559072193193</v>
      </c>
      <c r="H430" s="5">
        <v>14.479169566994</v>
      </c>
      <c r="I430" s="5">
        <v>14.479169566994</v>
      </c>
      <c r="J430" s="5">
        <v>14.479169566994</v>
      </c>
      <c r="K430" s="5">
        <v>0.608132553627666</v>
      </c>
      <c r="L430" s="5">
        <v>0.608132553627666</v>
      </c>
      <c r="M430" s="5">
        <v>0.608132553627666</v>
      </c>
      <c r="N430" s="5">
        <v>13.8710370133663</v>
      </c>
      <c r="O430" s="5">
        <v>13.8710370133663</v>
      </c>
      <c r="P430" s="5">
        <v>13.8710370133663</v>
      </c>
      <c r="Q430" s="5">
        <v>0.0</v>
      </c>
      <c r="R430" s="5">
        <v>0.0</v>
      </c>
      <c r="S430" s="5">
        <v>0.0</v>
      </c>
      <c r="T430" s="5">
        <v>210.038241760187</v>
      </c>
    </row>
    <row r="431">
      <c r="A431" s="5">
        <v>429.0</v>
      </c>
      <c r="B431" s="6">
        <v>44203.0</v>
      </c>
      <c r="C431" s="5">
        <v>196.08580877324</v>
      </c>
      <c r="D431" s="5">
        <v>167.52509532356</v>
      </c>
      <c r="E431" s="5">
        <v>253.202417620673</v>
      </c>
      <c r="F431" s="5">
        <v>196.08580877324</v>
      </c>
      <c r="G431" s="5">
        <v>196.08580877324</v>
      </c>
      <c r="H431" s="5">
        <v>13.8484444687975</v>
      </c>
      <c r="I431" s="5">
        <v>13.8484444687975</v>
      </c>
      <c r="J431" s="5">
        <v>13.8484444687975</v>
      </c>
      <c r="K431" s="5">
        <v>-0.225417905348659</v>
      </c>
      <c r="L431" s="5">
        <v>-0.225417905348659</v>
      </c>
      <c r="M431" s="5">
        <v>-0.225417905348659</v>
      </c>
      <c r="N431" s="5">
        <v>14.0738623741462</v>
      </c>
      <c r="O431" s="5">
        <v>14.0738623741462</v>
      </c>
      <c r="P431" s="5">
        <v>14.0738623741462</v>
      </c>
      <c r="Q431" s="5">
        <v>0.0</v>
      </c>
      <c r="R431" s="5">
        <v>0.0</v>
      </c>
      <c r="S431" s="5">
        <v>0.0</v>
      </c>
      <c r="T431" s="5">
        <v>209.934253242037</v>
      </c>
    </row>
    <row r="432">
      <c r="A432" s="5">
        <v>430.0</v>
      </c>
      <c r="B432" s="6">
        <v>44204.0</v>
      </c>
      <c r="C432" s="5">
        <v>196.612545353286</v>
      </c>
      <c r="D432" s="5">
        <v>168.613108338979</v>
      </c>
      <c r="E432" s="5">
        <v>251.129994328239</v>
      </c>
      <c r="F432" s="5">
        <v>196.612545353286</v>
      </c>
      <c r="G432" s="5">
        <v>196.612545353286</v>
      </c>
      <c r="H432" s="5">
        <v>13.4037945421042</v>
      </c>
      <c r="I432" s="5">
        <v>13.4037945421042</v>
      </c>
      <c r="J432" s="5">
        <v>13.4037945421042</v>
      </c>
      <c r="K432" s="5">
        <v>-0.739640081280001</v>
      </c>
      <c r="L432" s="5">
        <v>-0.739640081280001</v>
      </c>
      <c r="M432" s="5">
        <v>-0.739640081280001</v>
      </c>
      <c r="N432" s="5">
        <v>14.1434346233842</v>
      </c>
      <c r="O432" s="5">
        <v>14.1434346233842</v>
      </c>
      <c r="P432" s="5">
        <v>14.1434346233842</v>
      </c>
      <c r="Q432" s="5">
        <v>0.0</v>
      </c>
      <c r="R432" s="5">
        <v>0.0</v>
      </c>
      <c r="S432" s="5">
        <v>0.0</v>
      </c>
      <c r="T432" s="5">
        <v>210.01633989539</v>
      </c>
    </row>
    <row r="433">
      <c r="A433" s="5">
        <v>431.0</v>
      </c>
      <c r="B433" s="6">
        <v>44207.0</v>
      </c>
      <c r="C433" s="5">
        <v>198.192755093425</v>
      </c>
      <c r="D433" s="5">
        <v>174.294107863483</v>
      </c>
      <c r="E433" s="5">
        <v>251.686909928226</v>
      </c>
      <c r="F433" s="5">
        <v>198.192755093425</v>
      </c>
      <c r="G433" s="5">
        <v>198.192755093425</v>
      </c>
      <c r="H433" s="5">
        <v>14.6877391449217</v>
      </c>
      <c r="I433" s="5">
        <v>14.6877391449217</v>
      </c>
      <c r="J433" s="5">
        <v>14.6877391449217</v>
      </c>
      <c r="K433" s="5">
        <v>1.16457933344978</v>
      </c>
      <c r="L433" s="5">
        <v>1.16457933344978</v>
      </c>
      <c r="M433" s="5">
        <v>1.16457933344978</v>
      </c>
      <c r="N433" s="5">
        <v>13.5231598114719</v>
      </c>
      <c r="O433" s="5">
        <v>13.5231598114719</v>
      </c>
      <c r="P433" s="5">
        <v>13.5231598114719</v>
      </c>
      <c r="Q433" s="5">
        <v>0.0</v>
      </c>
      <c r="R433" s="5">
        <v>0.0</v>
      </c>
      <c r="S433" s="5">
        <v>0.0</v>
      </c>
      <c r="T433" s="5">
        <v>212.880494238347</v>
      </c>
    </row>
    <row r="434">
      <c r="A434" s="5">
        <v>432.0</v>
      </c>
      <c r="B434" s="6">
        <v>44208.0</v>
      </c>
      <c r="C434" s="5">
        <v>198.719491673472</v>
      </c>
      <c r="D434" s="5">
        <v>171.220258516696</v>
      </c>
      <c r="E434" s="5">
        <v>251.718538773501</v>
      </c>
      <c r="F434" s="5">
        <v>198.719491673472</v>
      </c>
      <c r="G434" s="5">
        <v>198.719491673472</v>
      </c>
      <c r="H434" s="5">
        <v>13.2968912859112</v>
      </c>
      <c r="I434" s="5">
        <v>13.2968912859112</v>
      </c>
      <c r="J434" s="5">
        <v>13.2968912859112</v>
      </c>
      <c r="K434" s="5">
        <v>0.24732477213688</v>
      </c>
      <c r="L434" s="5">
        <v>0.24732477213688</v>
      </c>
      <c r="M434" s="5">
        <v>0.24732477213688</v>
      </c>
      <c r="N434" s="5">
        <v>13.0495665137743</v>
      </c>
      <c r="O434" s="5">
        <v>13.0495665137743</v>
      </c>
      <c r="P434" s="5">
        <v>13.0495665137743</v>
      </c>
      <c r="Q434" s="5">
        <v>0.0</v>
      </c>
      <c r="R434" s="5">
        <v>0.0</v>
      </c>
      <c r="S434" s="5">
        <v>0.0</v>
      </c>
      <c r="T434" s="5">
        <v>212.016382959383</v>
      </c>
    </row>
    <row r="435">
      <c r="A435" s="5">
        <v>433.0</v>
      </c>
      <c r="B435" s="6">
        <v>44209.0</v>
      </c>
      <c r="C435" s="5">
        <v>199.246228253518</v>
      </c>
      <c r="D435" s="5">
        <v>174.148330489527</v>
      </c>
      <c r="E435" s="5">
        <v>256.082521259567</v>
      </c>
      <c r="F435" s="5">
        <v>199.246228253518</v>
      </c>
      <c r="G435" s="5">
        <v>199.246228253518</v>
      </c>
      <c r="H435" s="5">
        <v>13.0649321459735</v>
      </c>
      <c r="I435" s="5">
        <v>13.0649321459735</v>
      </c>
      <c r="J435" s="5">
        <v>13.0649321459735</v>
      </c>
      <c r="K435" s="5">
        <v>0.608132553626776</v>
      </c>
      <c r="L435" s="5">
        <v>0.608132553626776</v>
      </c>
      <c r="M435" s="5">
        <v>0.608132553626776</v>
      </c>
      <c r="N435" s="5">
        <v>12.4567995923467</v>
      </c>
      <c r="O435" s="5">
        <v>12.4567995923467</v>
      </c>
      <c r="P435" s="5">
        <v>12.4567995923467</v>
      </c>
      <c r="Q435" s="5">
        <v>0.0</v>
      </c>
      <c r="R435" s="5">
        <v>0.0</v>
      </c>
      <c r="S435" s="5">
        <v>0.0</v>
      </c>
      <c r="T435" s="5">
        <v>212.311160399492</v>
      </c>
    </row>
    <row r="436">
      <c r="A436" s="5">
        <v>434.0</v>
      </c>
      <c r="B436" s="6">
        <v>44210.0</v>
      </c>
      <c r="C436" s="5">
        <v>199.772964833565</v>
      </c>
      <c r="D436" s="5">
        <v>173.640171873147</v>
      </c>
      <c r="E436" s="5">
        <v>248.453953151701</v>
      </c>
      <c r="F436" s="5">
        <v>199.772964833565</v>
      </c>
      <c r="G436" s="5">
        <v>199.772964833565</v>
      </c>
      <c r="H436" s="5">
        <v>11.5332854253204</v>
      </c>
      <c r="I436" s="5">
        <v>11.5332854253204</v>
      </c>
      <c r="J436" s="5">
        <v>11.5332854253204</v>
      </c>
      <c r="K436" s="5">
        <v>-0.225417905344852</v>
      </c>
      <c r="L436" s="5">
        <v>-0.225417905344852</v>
      </c>
      <c r="M436" s="5">
        <v>-0.225417905344852</v>
      </c>
      <c r="N436" s="5">
        <v>11.7587033306653</v>
      </c>
      <c r="O436" s="5">
        <v>11.7587033306653</v>
      </c>
      <c r="P436" s="5">
        <v>11.7587033306653</v>
      </c>
      <c r="Q436" s="5">
        <v>0.0</v>
      </c>
      <c r="R436" s="5">
        <v>0.0</v>
      </c>
      <c r="S436" s="5">
        <v>0.0</v>
      </c>
      <c r="T436" s="5">
        <v>211.306250258885</v>
      </c>
    </row>
    <row r="437">
      <c r="A437" s="5">
        <v>435.0</v>
      </c>
      <c r="B437" s="6">
        <v>44211.0</v>
      </c>
      <c r="C437" s="5">
        <v>200.299701413611</v>
      </c>
      <c r="D437" s="5">
        <v>170.358554267353</v>
      </c>
      <c r="E437" s="5">
        <v>247.973702123504</v>
      </c>
      <c r="F437" s="5">
        <v>200.299701413611</v>
      </c>
      <c r="G437" s="5">
        <v>200.299701413611</v>
      </c>
      <c r="H437" s="5">
        <v>10.23255604995</v>
      </c>
      <c r="I437" s="5">
        <v>10.23255604995</v>
      </c>
      <c r="J437" s="5">
        <v>10.23255604995</v>
      </c>
      <c r="K437" s="5">
        <v>-0.739640081281157</v>
      </c>
      <c r="L437" s="5">
        <v>-0.739640081281157</v>
      </c>
      <c r="M437" s="5">
        <v>-0.739640081281157</v>
      </c>
      <c r="N437" s="5">
        <v>10.9721961312311</v>
      </c>
      <c r="O437" s="5">
        <v>10.9721961312311</v>
      </c>
      <c r="P437" s="5">
        <v>10.9721961312311</v>
      </c>
      <c r="Q437" s="5">
        <v>0.0</v>
      </c>
      <c r="R437" s="5">
        <v>0.0</v>
      </c>
      <c r="S437" s="5">
        <v>0.0</v>
      </c>
      <c r="T437" s="5">
        <v>210.532257463561</v>
      </c>
    </row>
    <row r="438">
      <c r="A438" s="5">
        <v>436.0</v>
      </c>
      <c r="B438" s="6">
        <v>44215.0</v>
      </c>
      <c r="C438" s="5">
        <v>202.406647733797</v>
      </c>
      <c r="D438" s="5">
        <v>171.111799167444</v>
      </c>
      <c r="E438" s="5">
        <v>246.228005695092</v>
      </c>
      <c r="F438" s="5">
        <v>202.406647733797</v>
      </c>
      <c r="G438" s="5">
        <v>202.406647733797</v>
      </c>
      <c r="H438" s="5">
        <v>7.60802726605219</v>
      </c>
      <c r="I438" s="5">
        <v>7.60802726605219</v>
      </c>
      <c r="J438" s="5">
        <v>7.60802726605219</v>
      </c>
      <c r="K438" s="5">
        <v>0.247324772136969</v>
      </c>
      <c r="L438" s="5">
        <v>0.247324772136969</v>
      </c>
      <c r="M438" s="5">
        <v>0.247324772136969</v>
      </c>
      <c r="N438" s="5">
        <v>7.36070249391522</v>
      </c>
      <c r="O438" s="5">
        <v>7.36070249391522</v>
      </c>
      <c r="P438" s="5">
        <v>7.36070249391522</v>
      </c>
      <c r="Q438" s="5">
        <v>0.0</v>
      </c>
      <c r="R438" s="5">
        <v>0.0</v>
      </c>
      <c r="S438" s="5">
        <v>0.0</v>
      </c>
      <c r="T438" s="5">
        <v>210.014674999849</v>
      </c>
    </row>
    <row r="439">
      <c r="A439" s="5">
        <v>437.0</v>
      </c>
      <c r="B439" s="6">
        <v>44216.0</v>
      </c>
      <c r="C439" s="5">
        <v>202.933384313843</v>
      </c>
      <c r="D439" s="5">
        <v>170.842153249879</v>
      </c>
      <c r="E439" s="5">
        <v>250.593750615877</v>
      </c>
      <c r="F439" s="5">
        <v>202.933384313843</v>
      </c>
      <c r="G439" s="5">
        <v>202.933384313843</v>
      </c>
      <c r="H439" s="5">
        <v>7.06611141912101</v>
      </c>
      <c r="I439" s="5">
        <v>7.06611141912101</v>
      </c>
      <c r="J439" s="5">
        <v>7.06611141912101</v>
      </c>
      <c r="K439" s="5">
        <v>0.608132553625886</v>
      </c>
      <c r="L439" s="5">
        <v>0.608132553625886</v>
      </c>
      <c r="M439" s="5">
        <v>0.608132553625886</v>
      </c>
      <c r="N439" s="5">
        <v>6.45797886549512</v>
      </c>
      <c r="O439" s="5">
        <v>6.45797886549512</v>
      </c>
      <c r="P439" s="5">
        <v>6.45797886549512</v>
      </c>
      <c r="Q439" s="5">
        <v>0.0</v>
      </c>
      <c r="R439" s="5">
        <v>0.0</v>
      </c>
      <c r="S439" s="5">
        <v>0.0</v>
      </c>
      <c r="T439" s="5">
        <v>209.999495732964</v>
      </c>
    </row>
    <row r="440">
      <c r="A440" s="5">
        <v>438.0</v>
      </c>
      <c r="B440" s="6">
        <v>44217.0</v>
      </c>
      <c r="C440" s="5">
        <v>203.46012089389</v>
      </c>
      <c r="D440" s="5">
        <v>165.300302970404</v>
      </c>
      <c r="E440" s="5">
        <v>246.54660665733</v>
      </c>
      <c r="F440" s="5">
        <v>203.46012089389</v>
      </c>
      <c r="G440" s="5">
        <v>203.46012089389</v>
      </c>
      <c r="H440" s="5">
        <v>5.37759664869116</v>
      </c>
      <c r="I440" s="5">
        <v>5.37759664869116</v>
      </c>
      <c r="J440" s="5">
        <v>5.37759664869116</v>
      </c>
      <c r="K440" s="5">
        <v>-0.225417905347817</v>
      </c>
      <c r="L440" s="5">
        <v>-0.225417905347817</v>
      </c>
      <c r="M440" s="5">
        <v>-0.225417905347817</v>
      </c>
      <c r="N440" s="5">
        <v>5.60301455403898</v>
      </c>
      <c r="O440" s="5">
        <v>5.60301455403898</v>
      </c>
      <c r="P440" s="5">
        <v>5.60301455403898</v>
      </c>
      <c r="Q440" s="5">
        <v>0.0</v>
      </c>
      <c r="R440" s="5">
        <v>0.0</v>
      </c>
      <c r="S440" s="5">
        <v>0.0</v>
      </c>
      <c r="T440" s="5">
        <v>208.837717542581</v>
      </c>
    </row>
    <row r="441">
      <c r="A441" s="5">
        <v>439.0</v>
      </c>
      <c r="B441" s="6">
        <v>44218.0</v>
      </c>
      <c r="C441" s="5">
        <v>203.986857473936</v>
      </c>
      <c r="D441" s="5">
        <v>168.433550593846</v>
      </c>
      <c r="E441" s="5">
        <v>249.422519387998</v>
      </c>
      <c r="F441" s="5">
        <v>203.986857473936</v>
      </c>
      <c r="G441" s="5">
        <v>203.986857473936</v>
      </c>
      <c r="H441" s="5">
        <v>4.0786658123039</v>
      </c>
      <c r="I441" s="5">
        <v>4.0786658123039</v>
      </c>
      <c r="J441" s="5">
        <v>4.0786658123039</v>
      </c>
      <c r="K441" s="5">
        <v>-0.739640081280251</v>
      </c>
      <c r="L441" s="5">
        <v>-0.739640081280251</v>
      </c>
      <c r="M441" s="5">
        <v>-0.739640081280251</v>
      </c>
      <c r="N441" s="5">
        <v>4.81830589358415</v>
      </c>
      <c r="O441" s="5">
        <v>4.81830589358415</v>
      </c>
      <c r="P441" s="5">
        <v>4.81830589358415</v>
      </c>
      <c r="Q441" s="5">
        <v>0.0</v>
      </c>
      <c r="R441" s="5">
        <v>0.0</v>
      </c>
      <c r="S441" s="5">
        <v>0.0</v>
      </c>
      <c r="T441" s="5">
        <v>208.06552328624</v>
      </c>
    </row>
    <row r="442">
      <c r="A442" s="5">
        <v>440.0</v>
      </c>
      <c r="B442" s="6">
        <v>44221.0</v>
      </c>
      <c r="C442" s="5">
        <v>205.567067214075</v>
      </c>
      <c r="D442" s="5">
        <v>169.289500308355</v>
      </c>
      <c r="E442" s="5">
        <v>248.687265781024</v>
      </c>
      <c r="F442" s="5">
        <v>205.567067214075</v>
      </c>
      <c r="G442" s="5">
        <v>205.567067214075</v>
      </c>
      <c r="H442" s="5">
        <v>4.24406744544482</v>
      </c>
      <c r="I442" s="5">
        <v>4.24406744544482</v>
      </c>
      <c r="J442" s="5">
        <v>4.24406744544482</v>
      </c>
      <c r="K442" s="5">
        <v>1.16457933345046</v>
      </c>
      <c r="L442" s="5">
        <v>1.16457933345046</v>
      </c>
      <c r="M442" s="5">
        <v>1.16457933345046</v>
      </c>
      <c r="N442" s="5">
        <v>3.07948811199435</v>
      </c>
      <c r="O442" s="5">
        <v>3.07948811199435</v>
      </c>
      <c r="P442" s="5">
        <v>3.07948811199435</v>
      </c>
      <c r="Q442" s="5">
        <v>0.0</v>
      </c>
      <c r="R442" s="5">
        <v>0.0</v>
      </c>
      <c r="S442" s="5">
        <v>0.0</v>
      </c>
      <c r="T442" s="5">
        <v>209.81113465952</v>
      </c>
    </row>
    <row r="443">
      <c r="A443" s="5">
        <v>441.0</v>
      </c>
      <c r="B443" s="6">
        <v>44222.0</v>
      </c>
      <c r="C443" s="5">
        <v>206.093803794122</v>
      </c>
      <c r="D443" s="5">
        <v>169.884346579654</v>
      </c>
      <c r="E443" s="5">
        <v>249.502841467063</v>
      </c>
      <c r="F443" s="5">
        <v>206.093803794122</v>
      </c>
      <c r="G443" s="5">
        <v>206.093803794122</v>
      </c>
      <c r="H443" s="5">
        <v>3.00251387535902</v>
      </c>
      <c r="I443" s="5">
        <v>3.00251387535902</v>
      </c>
      <c r="J443" s="5">
        <v>3.00251387535902</v>
      </c>
      <c r="K443" s="5">
        <v>0.247324772137057</v>
      </c>
      <c r="L443" s="5">
        <v>0.247324772137057</v>
      </c>
      <c r="M443" s="5">
        <v>0.247324772137057</v>
      </c>
      <c r="N443" s="5">
        <v>2.75518910322196</v>
      </c>
      <c r="O443" s="5">
        <v>2.75518910322196</v>
      </c>
      <c r="P443" s="5">
        <v>2.75518910322196</v>
      </c>
      <c r="Q443" s="5">
        <v>0.0</v>
      </c>
      <c r="R443" s="5">
        <v>0.0</v>
      </c>
      <c r="S443" s="5">
        <v>0.0</v>
      </c>
      <c r="T443" s="5">
        <v>209.096317669481</v>
      </c>
    </row>
    <row r="444">
      <c r="A444" s="5">
        <v>442.0</v>
      </c>
      <c r="B444" s="6">
        <v>44223.0</v>
      </c>
      <c r="C444" s="5">
        <v>206.620540374168</v>
      </c>
      <c r="D444" s="5">
        <v>171.59568643056</v>
      </c>
      <c r="E444" s="5">
        <v>253.131672307989</v>
      </c>
      <c r="F444" s="5">
        <v>206.620540374168</v>
      </c>
      <c r="G444" s="5">
        <v>206.620540374168</v>
      </c>
      <c r="H444" s="5">
        <v>3.1829323802022</v>
      </c>
      <c r="I444" s="5">
        <v>3.1829323802022</v>
      </c>
      <c r="J444" s="5">
        <v>3.1829323802022</v>
      </c>
      <c r="K444" s="5">
        <v>0.608132553626551</v>
      </c>
      <c r="L444" s="5">
        <v>0.608132553626551</v>
      </c>
      <c r="M444" s="5">
        <v>0.608132553626551</v>
      </c>
      <c r="N444" s="5">
        <v>2.57479982657565</v>
      </c>
      <c r="O444" s="5">
        <v>2.57479982657565</v>
      </c>
      <c r="P444" s="5">
        <v>2.57479982657565</v>
      </c>
      <c r="Q444" s="5">
        <v>0.0</v>
      </c>
      <c r="R444" s="5">
        <v>0.0</v>
      </c>
      <c r="S444" s="5">
        <v>0.0</v>
      </c>
      <c r="T444" s="5">
        <v>209.80347275437</v>
      </c>
    </row>
    <row r="445">
      <c r="A445" s="5">
        <v>443.0</v>
      </c>
      <c r="B445" s="6">
        <v>44224.0</v>
      </c>
      <c r="C445" s="5">
        <v>207.147276954214</v>
      </c>
      <c r="D445" s="5">
        <v>167.808269835732</v>
      </c>
      <c r="E445" s="5">
        <v>247.864791830853</v>
      </c>
      <c r="F445" s="5">
        <v>207.147276954214</v>
      </c>
      <c r="G445" s="5">
        <v>207.147276954214</v>
      </c>
      <c r="H445" s="5">
        <v>2.31661258714777</v>
      </c>
      <c r="I445" s="5">
        <v>2.31661258714777</v>
      </c>
      <c r="J445" s="5">
        <v>2.31661258714777</v>
      </c>
      <c r="K445" s="5">
        <v>-0.225417905347396</v>
      </c>
      <c r="L445" s="5">
        <v>-0.225417905347396</v>
      </c>
      <c r="M445" s="5">
        <v>-0.225417905347396</v>
      </c>
      <c r="N445" s="5">
        <v>2.54203049249517</v>
      </c>
      <c r="O445" s="5">
        <v>2.54203049249517</v>
      </c>
      <c r="P445" s="5">
        <v>2.54203049249517</v>
      </c>
      <c r="Q445" s="5">
        <v>0.0</v>
      </c>
      <c r="R445" s="5">
        <v>0.0</v>
      </c>
      <c r="S445" s="5">
        <v>0.0</v>
      </c>
      <c r="T445" s="5">
        <v>209.463889541362</v>
      </c>
    </row>
    <row r="446">
      <c r="A446" s="5">
        <v>444.0</v>
      </c>
      <c r="B446" s="6">
        <v>44225.0</v>
      </c>
      <c r="C446" s="5">
        <v>207.45795485583</v>
      </c>
      <c r="D446" s="5">
        <v>173.852343943203</v>
      </c>
      <c r="E446" s="5">
        <v>253.077838222748</v>
      </c>
      <c r="F446" s="5">
        <v>207.45795485583</v>
      </c>
      <c r="G446" s="5">
        <v>207.45795485583</v>
      </c>
      <c r="H446" s="5">
        <v>1.91662737148687</v>
      </c>
      <c r="I446" s="5">
        <v>1.91662737148687</v>
      </c>
      <c r="J446" s="5">
        <v>1.91662737148687</v>
      </c>
      <c r="K446" s="5">
        <v>-0.739640081277974</v>
      </c>
      <c r="L446" s="5">
        <v>-0.739640081277974</v>
      </c>
      <c r="M446" s="5">
        <v>-0.739640081277974</v>
      </c>
      <c r="N446" s="5">
        <v>2.65626745276484</v>
      </c>
      <c r="O446" s="5">
        <v>2.65626745276484</v>
      </c>
      <c r="P446" s="5">
        <v>2.65626745276484</v>
      </c>
      <c r="Q446" s="5">
        <v>0.0</v>
      </c>
      <c r="R446" s="5">
        <v>0.0</v>
      </c>
      <c r="S446" s="5">
        <v>0.0</v>
      </c>
      <c r="T446" s="5">
        <v>209.374582227317</v>
      </c>
    </row>
    <row r="447">
      <c r="A447" s="5">
        <v>445.0</v>
      </c>
      <c r="B447" s="6">
        <v>44228.0</v>
      </c>
      <c r="C447" s="5">
        <v>208.389988560677</v>
      </c>
      <c r="D447" s="5">
        <v>175.611294483152</v>
      </c>
      <c r="E447" s="5">
        <v>254.643605511317</v>
      </c>
      <c r="F447" s="5">
        <v>208.389988560677</v>
      </c>
      <c r="G447" s="5">
        <v>208.389988560677</v>
      </c>
      <c r="H447" s="5">
        <v>4.97420856605199</v>
      </c>
      <c r="I447" s="5">
        <v>4.97420856605199</v>
      </c>
      <c r="J447" s="5">
        <v>4.97420856605199</v>
      </c>
      <c r="K447" s="5">
        <v>1.16457933345069</v>
      </c>
      <c r="L447" s="5">
        <v>1.16457933345069</v>
      </c>
      <c r="M447" s="5">
        <v>1.16457933345069</v>
      </c>
      <c r="N447" s="5">
        <v>3.80962923260129</v>
      </c>
      <c r="O447" s="5">
        <v>3.80962923260129</v>
      </c>
      <c r="P447" s="5">
        <v>3.80962923260129</v>
      </c>
      <c r="Q447" s="5">
        <v>0.0</v>
      </c>
      <c r="R447" s="5">
        <v>0.0</v>
      </c>
      <c r="S447" s="5">
        <v>0.0</v>
      </c>
      <c r="T447" s="5">
        <v>213.364197126729</v>
      </c>
    </row>
    <row r="448">
      <c r="A448" s="5">
        <v>446.0</v>
      </c>
      <c r="B448" s="6">
        <v>44229.0</v>
      </c>
      <c r="C448" s="5">
        <v>208.700666462293</v>
      </c>
      <c r="D448" s="5">
        <v>171.408733268578</v>
      </c>
      <c r="E448" s="5">
        <v>254.897344440619</v>
      </c>
      <c r="F448" s="5">
        <v>208.700666462293</v>
      </c>
      <c r="G448" s="5">
        <v>208.700666462293</v>
      </c>
      <c r="H448" s="5">
        <v>4.6670501666068</v>
      </c>
      <c r="I448" s="5">
        <v>4.6670501666068</v>
      </c>
      <c r="J448" s="5">
        <v>4.6670501666068</v>
      </c>
      <c r="K448" s="5">
        <v>0.247324772138442</v>
      </c>
      <c r="L448" s="5">
        <v>0.247324772138442</v>
      </c>
      <c r="M448" s="5">
        <v>0.247324772138442</v>
      </c>
      <c r="N448" s="5">
        <v>4.41972539446836</v>
      </c>
      <c r="O448" s="5">
        <v>4.41972539446836</v>
      </c>
      <c r="P448" s="5">
        <v>4.41972539446836</v>
      </c>
      <c r="Q448" s="5">
        <v>0.0</v>
      </c>
      <c r="R448" s="5">
        <v>0.0</v>
      </c>
      <c r="S448" s="5">
        <v>0.0</v>
      </c>
      <c r="T448" s="5">
        <v>213.3677166289</v>
      </c>
    </row>
    <row r="449">
      <c r="A449" s="5">
        <v>447.0</v>
      </c>
      <c r="B449" s="6">
        <v>44230.0</v>
      </c>
      <c r="C449" s="5">
        <v>209.011344363909</v>
      </c>
      <c r="D449" s="5">
        <v>176.275203044137</v>
      </c>
      <c r="E449" s="5">
        <v>255.658509477873</v>
      </c>
      <c r="F449" s="5">
        <v>209.011344363909</v>
      </c>
      <c r="G449" s="5">
        <v>209.011344363909</v>
      </c>
      <c r="H449" s="5">
        <v>5.7191171441128</v>
      </c>
      <c r="I449" s="5">
        <v>5.7191171441128</v>
      </c>
      <c r="J449" s="5">
        <v>5.7191171441128</v>
      </c>
      <c r="K449" s="5">
        <v>0.608132553625661</v>
      </c>
      <c r="L449" s="5">
        <v>0.608132553625661</v>
      </c>
      <c r="M449" s="5">
        <v>0.608132553625661</v>
      </c>
      <c r="N449" s="5">
        <v>5.11098459048714</v>
      </c>
      <c r="O449" s="5">
        <v>5.11098459048714</v>
      </c>
      <c r="P449" s="5">
        <v>5.11098459048714</v>
      </c>
      <c r="Q449" s="5">
        <v>0.0</v>
      </c>
      <c r="R449" s="5">
        <v>0.0</v>
      </c>
      <c r="S449" s="5">
        <v>0.0</v>
      </c>
      <c r="T449" s="5">
        <v>214.730461508022</v>
      </c>
    </row>
    <row r="450">
      <c r="A450" s="5">
        <v>448.0</v>
      </c>
      <c r="B450" s="6">
        <v>44231.0</v>
      </c>
      <c r="C450" s="5">
        <v>209.322022265525</v>
      </c>
      <c r="D450" s="5">
        <v>173.660662014473</v>
      </c>
      <c r="E450" s="5">
        <v>256.146542944423</v>
      </c>
      <c r="F450" s="5">
        <v>209.322022265525</v>
      </c>
      <c r="G450" s="5">
        <v>209.322022265525</v>
      </c>
      <c r="H450" s="5">
        <v>5.63427833153179</v>
      </c>
      <c r="I450" s="5">
        <v>5.63427833153179</v>
      </c>
      <c r="J450" s="5">
        <v>5.63427833153179</v>
      </c>
      <c r="K450" s="5">
        <v>-0.225417905350361</v>
      </c>
      <c r="L450" s="5">
        <v>-0.225417905350361</v>
      </c>
      <c r="M450" s="5">
        <v>-0.225417905350361</v>
      </c>
      <c r="N450" s="5">
        <v>5.85969623688215</v>
      </c>
      <c r="O450" s="5">
        <v>5.85969623688215</v>
      </c>
      <c r="P450" s="5">
        <v>5.85969623688215</v>
      </c>
      <c r="Q450" s="5">
        <v>0.0</v>
      </c>
      <c r="R450" s="5">
        <v>0.0</v>
      </c>
      <c r="S450" s="5">
        <v>0.0</v>
      </c>
      <c r="T450" s="5">
        <v>214.956300597056</v>
      </c>
    </row>
    <row r="451">
      <c r="A451" s="5">
        <v>449.0</v>
      </c>
      <c r="B451" s="6">
        <v>44232.0</v>
      </c>
      <c r="C451" s="5">
        <v>209.63270016714</v>
      </c>
      <c r="D451" s="5">
        <v>174.582053231047</v>
      </c>
      <c r="E451" s="5">
        <v>255.681126469301</v>
      </c>
      <c r="F451" s="5">
        <v>209.63270016714</v>
      </c>
      <c r="G451" s="5">
        <v>209.63270016714</v>
      </c>
      <c r="H451" s="5">
        <v>5.90014210932914</v>
      </c>
      <c r="I451" s="5">
        <v>5.90014210932914</v>
      </c>
      <c r="J451" s="5">
        <v>5.90014210932914</v>
      </c>
      <c r="K451" s="5">
        <v>-0.739640081282562</v>
      </c>
      <c r="L451" s="5">
        <v>-0.739640081282562</v>
      </c>
      <c r="M451" s="5">
        <v>-0.739640081282562</v>
      </c>
      <c r="N451" s="5">
        <v>6.6397821906117</v>
      </c>
      <c r="O451" s="5">
        <v>6.6397821906117</v>
      </c>
      <c r="P451" s="5">
        <v>6.6397821906117</v>
      </c>
      <c r="Q451" s="5">
        <v>0.0</v>
      </c>
      <c r="R451" s="5">
        <v>0.0</v>
      </c>
      <c r="S451" s="5">
        <v>0.0</v>
      </c>
      <c r="T451" s="5">
        <v>215.53284227647</v>
      </c>
    </row>
    <row r="452">
      <c r="A452" s="5">
        <v>450.0</v>
      </c>
      <c r="B452" s="6">
        <v>44235.0</v>
      </c>
      <c r="C452" s="5">
        <v>210.564733871988</v>
      </c>
      <c r="D452" s="5">
        <v>182.156596295619</v>
      </c>
      <c r="E452" s="5">
        <v>262.666940905272</v>
      </c>
      <c r="F452" s="5">
        <v>210.564733871988</v>
      </c>
      <c r="G452" s="5">
        <v>210.564733871988</v>
      </c>
      <c r="H452" s="5">
        <v>10.0506532293232</v>
      </c>
      <c r="I452" s="5">
        <v>10.0506532293232</v>
      </c>
      <c r="J452" s="5">
        <v>10.0506532293232</v>
      </c>
      <c r="K452" s="5">
        <v>1.16457933345102</v>
      </c>
      <c r="L452" s="5">
        <v>1.16457933345102</v>
      </c>
      <c r="M452" s="5">
        <v>1.16457933345102</v>
      </c>
      <c r="N452" s="5">
        <v>8.88607389587217</v>
      </c>
      <c r="O452" s="5">
        <v>8.88607389587217</v>
      </c>
      <c r="P452" s="5">
        <v>8.88607389587217</v>
      </c>
      <c r="Q452" s="5">
        <v>0.0</v>
      </c>
      <c r="R452" s="5">
        <v>0.0</v>
      </c>
      <c r="S452" s="5">
        <v>0.0</v>
      </c>
      <c r="T452" s="5">
        <v>220.615387101311</v>
      </c>
    </row>
    <row r="453">
      <c r="A453" s="5">
        <v>451.0</v>
      </c>
      <c r="B453" s="6">
        <v>44236.0</v>
      </c>
      <c r="C453" s="5">
        <v>210.875411773603</v>
      </c>
      <c r="D453" s="5">
        <v>182.441319202059</v>
      </c>
      <c r="E453" s="5">
        <v>261.229741944481</v>
      </c>
      <c r="F453" s="5">
        <v>210.875411773603</v>
      </c>
      <c r="G453" s="5">
        <v>210.875411773603</v>
      </c>
      <c r="H453" s="5">
        <v>9.754719337362</v>
      </c>
      <c r="I453" s="5">
        <v>9.754719337362</v>
      </c>
      <c r="J453" s="5">
        <v>9.754719337362</v>
      </c>
      <c r="K453" s="5">
        <v>0.247324772137108</v>
      </c>
      <c r="L453" s="5">
        <v>0.247324772137108</v>
      </c>
      <c r="M453" s="5">
        <v>0.247324772137108</v>
      </c>
      <c r="N453" s="5">
        <v>9.50739456522489</v>
      </c>
      <c r="O453" s="5">
        <v>9.50739456522489</v>
      </c>
      <c r="P453" s="5">
        <v>9.50739456522489</v>
      </c>
      <c r="Q453" s="5">
        <v>0.0</v>
      </c>
      <c r="R453" s="5">
        <v>0.0</v>
      </c>
      <c r="S453" s="5">
        <v>0.0</v>
      </c>
      <c r="T453" s="5">
        <v>220.630131110965</v>
      </c>
    </row>
    <row r="454">
      <c r="A454" s="5">
        <v>452.0</v>
      </c>
      <c r="B454" s="6">
        <v>44237.0</v>
      </c>
      <c r="C454" s="5">
        <v>211.186089675219</v>
      </c>
      <c r="D454" s="5">
        <v>183.828246926119</v>
      </c>
      <c r="E454" s="5">
        <v>263.260268821094</v>
      </c>
      <c r="F454" s="5">
        <v>211.186089675219</v>
      </c>
      <c r="G454" s="5">
        <v>211.186089675219</v>
      </c>
      <c r="H454" s="5">
        <v>10.6266715854251</v>
      </c>
      <c r="I454" s="5">
        <v>10.6266715854251</v>
      </c>
      <c r="J454" s="5">
        <v>10.6266715854251</v>
      </c>
      <c r="K454" s="5">
        <v>0.60813255362744</v>
      </c>
      <c r="L454" s="5">
        <v>0.60813255362744</v>
      </c>
      <c r="M454" s="5">
        <v>0.60813255362744</v>
      </c>
      <c r="N454" s="5">
        <v>10.0185390317977</v>
      </c>
      <c r="O454" s="5">
        <v>10.0185390317977</v>
      </c>
      <c r="P454" s="5">
        <v>10.0185390317977</v>
      </c>
      <c r="Q454" s="5">
        <v>0.0</v>
      </c>
      <c r="R454" s="5">
        <v>0.0</v>
      </c>
      <c r="S454" s="5">
        <v>0.0</v>
      </c>
      <c r="T454" s="5">
        <v>221.812761260644</v>
      </c>
    </row>
    <row r="455">
      <c r="A455" s="5">
        <v>453.0</v>
      </c>
      <c r="B455" s="6">
        <v>44238.0</v>
      </c>
      <c r="C455" s="5">
        <v>211.496767576835</v>
      </c>
      <c r="D455" s="5">
        <v>179.130192418649</v>
      </c>
      <c r="E455" s="5">
        <v>261.29865811175</v>
      </c>
      <c r="F455" s="5">
        <v>211.496767576835</v>
      </c>
      <c r="G455" s="5">
        <v>211.496767576835</v>
      </c>
      <c r="H455" s="5">
        <v>10.16873854901</v>
      </c>
      <c r="I455" s="5">
        <v>10.16873854901</v>
      </c>
      <c r="J455" s="5">
        <v>10.16873854901</v>
      </c>
      <c r="K455" s="5">
        <v>-0.22541790534994</v>
      </c>
      <c r="L455" s="5">
        <v>-0.22541790534994</v>
      </c>
      <c r="M455" s="5">
        <v>-0.22541790534994</v>
      </c>
      <c r="N455" s="5">
        <v>10.3941564543599</v>
      </c>
      <c r="O455" s="5">
        <v>10.3941564543599</v>
      </c>
      <c r="P455" s="5">
        <v>10.3941564543599</v>
      </c>
      <c r="Q455" s="5">
        <v>0.0</v>
      </c>
      <c r="R455" s="5">
        <v>0.0</v>
      </c>
      <c r="S455" s="5">
        <v>0.0</v>
      </c>
      <c r="T455" s="5">
        <v>221.665506125845</v>
      </c>
    </row>
    <row r="456">
      <c r="A456" s="5">
        <v>454.0</v>
      </c>
      <c r="B456" s="6">
        <v>44239.0</v>
      </c>
      <c r="C456" s="5">
        <v>211.807445478451</v>
      </c>
      <c r="D456" s="5">
        <v>181.969539172511</v>
      </c>
      <c r="E456" s="5">
        <v>262.781118586985</v>
      </c>
      <c r="F456" s="5">
        <v>211.807445478451</v>
      </c>
      <c r="G456" s="5">
        <v>211.807445478451</v>
      </c>
      <c r="H456" s="5">
        <v>9.87191516036175</v>
      </c>
      <c r="I456" s="5">
        <v>9.87191516036175</v>
      </c>
      <c r="J456" s="5">
        <v>9.87191516036175</v>
      </c>
      <c r="K456" s="5">
        <v>-0.739640081280285</v>
      </c>
      <c r="L456" s="5">
        <v>-0.739640081280285</v>
      </c>
      <c r="M456" s="5">
        <v>-0.739640081280285</v>
      </c>
      <c r="N456" s="5">
        <v>10.611555241642</v>
      </c>
      <c r="O456" s="5">
        <v>10.611555241642</v>
      </c>
      <c r="P456" s="5">
        <v>10.611555241642</v>
      </c>
      <c r="Q456" s="5">
        <v>0.0</v>
      </c>
      <c r="R456" s="5">
        <v>0.0</v>
      </c>
      <c r="S456" s="5">
        <v>0.0</v>
      </c>
      <c r="T456" s="5">
        <v>221.679360638812</v>
      </c>
    </row>
    <row r="457">
      <c r="A457" s="5">
        <v>455.0</v>
      </c>
      <c r="B457" s="6">
        <v>44243.0</v>
      </c>
      <c r="C457" s="5">
        <v>213.050157084914</v>
      </c>
      <c r="D457" s="5">
        <v>182.675090485473</v>
      </c>
      <c r="E457" s="5">
        <v>262.952243946012</v>
      </c>
      <c r="F457" s="5">
        <v>213.050157084914</v>
      </c>
      <c r="G457" s="5">
        <v>213.050157084914</v>
      </c>
      <c r="H457" s="5">
        <v>9.81809444844461</v>
      </c>
      <c r="I457" s="5">
        <v>9.81809444844461</v>
      </c>
      <c r="J457" s="5">
        <v>9.81809444844461</v>
      </c>
      <c r="K457" s="5">
        <v>0.247324772138619</v>
      </c>
      <c r="L457" s="5">
        <v>0.247324772138619</v>
      </c>
      <c r="M457" s="5">
        <v>0.247324772138619</v>
      </c>
      <c r="N457" s="5">
        <v>9.57076967630599</v>
      </c>
      <c r="O457" s="5">
        <v>9.57076967630599</v>
      </c>
      <c r="P457" s="5">
        <v>9.57076967630599</v>
      </c>
      <c r="Q457" s="5">
        <v>0.0</v>
      </c>
      <c r="R457" s="5">
        <v>0.0</v>
      </c>
      <c r="S457" s="5">
        <v>0.0</v>
      </c>
      <c r="T457" s="5">
        <v>222.868251533358</v>
      </c>
    </row>
    <row r="458">
      <c r="A458" s="5">
        <v>456.0</v>
      </c>
      <c r="B458" s="6">
        <v>44244.0</v>
      </c>
      <c r="C458" s="5">
        <v>213.360834986529</v>
      </c>
      <c r="D458" s="5">
        <v>181.578102793155</v>
      </c>
      <c r="E458" s="5">
        <v>262.743591944216</v>
      </c>
      <c r="F458" s="5">
        <v>213.360834986529</v>
      </c>
      <c r="G458" s="5">
        <v>213.360834986529</v>
      </c>
      <c r="H458" s="5">
        <v>9.3967132618915</v>
      </c>
      <c r="I458" s="5">
        <v>9.3967132618915</v>
      </c>
      <c r="J458" s="5">
        <v>9.3967132618915</v>
      </c>
      <c r="K458" s="5">
        <v>0.608132553623882</v>
      </c>
      <c r="L458" s="5">
        <v>0.608132553623882</v>
      </c>
      <c r="M458" s="5">
        <v>0.608132553623882</v>
      </c>
      <c r="N458" s="5">
        <v>8.78858070826762</v>
      </c>
      <c r="O458" s="5">
        <v>8.78858070826762</v>
      </c>
      <c r="P458" s="5">
        <v>8.78858070826762</v>
      </c>
      <c r="Q458" s="5">
        <v>0.0</v>
      </c>
      <c r="R458" s="5">
        <v>0.0</v>
      </c>
      <c r="S458" s="5">
        <v>0.0</v>
      </c>
      <c r="T458" s="5">
        <v>222.757548248421</v>
      </c>
    </row>
    <row r="459">
      <c r="A459" s="5">
        <v>457.0</v>
      </c>
      <c r="B459" s="6">
        <v>44245.0</v>
      </c>
      <c r="C459" s="5">
        <v>213.671512888145</v>
      </c>
      <c r="D459" s="5">
        <v>181.621438701284</v>
      </c>
      <c r="E459" s="5">
        <v>261.38529419138</v>
      </c>
      <c r="F459" s="5">
        <v>213.671512888145</v>
      </c>
      <c r="G459" s="5">
        <v>213.671512888145</v>
      </c>
      <c r="H459" s="5">
        <v>7.5710745625012</v>
      </c>
      <c r="I459" s="5">
        <v>7.5710745625012</v>
      </c>
      <c r="J459" s="5">
        <v>7.5710745625012</v>
      </c>
      <c r="K459" s="5">
        <v>-0.225417905347593</v>
      </c>
      <c r="L459" s="5">
        <v>-0.225417905347593</v>
      </c>
      <c r="M459" s="5">
        <v>-0.225417905347593</v>
      </c>
      <c r="N459" s="5">
        <v>7.79649246784879</v>
      </c>
      <c r="O459" s="5">
        <v>7.79649246784879</v>
      </c>
      <c r="P459" s="5">
        <v>7.79649246784879</v>
      </c>
      <c r="Q459" s="5">
        <v>0.0</v>
      </c>
      <c r="R459" s="5">
        <v>0.0</v>
      </c>
      <c r="S459" s="5">
        <v>0.0</v>
      </c>
      <c r="T459" s="5">
        <v>221.242587450646</v>
      </c>
    </row>
    <row r="460">
      <c r="A460" s="5">
        <v>458.0</v>
      </c>
      <c r="B460" s="6">
        <v>44246.0</v>
      </c>
      <c r="C460" s="5">
        <v>213.982190789761</v>
      </c>
      <c r="D460" s="5">
        <v>177.470195430193</v>
      </c>
      <c r="E460" s="5">
        <v>259.874477237694</v>
      </c>
      <c r="F460" s="5">
        <v>213.982190789761</v>
      </c>
      <c r="G460" s="5">
        <v>213.982190789761</v>
      </c>
      <c r="H460" s="5">
        <v>5.86294288065295</v>
      </c>
      <c r="I460" s="5">
        <v>5.86294288065295</v>
      </c>
      <c r="J460" s="5">
        <v>5.86294288065295</v>
      </c>
      <c r="K460" s="5">
        <v>-0.739640081281441</v>
      </c>
      <c r="L460" s="5">
        <v>-0.739640081281441</v>
      </c>
      <c r="M460" s="5">
        <v>-0.739640081281441</v>
      </c>
      <c r="N460" s="5">
        <v>6.60258296193439</v>
      </c>
      <c r="O460" s="5">
        <v>6.60258296193439</v>
      </c>
      <c r="P460" s="5">
        <v>6.60258296193439</v>
      </c>
      <c r="Q460" s="5">
        <v>0.0</v>
      </c>
      <c r="R460" s="5">
        <v>0.0</v>
      </c>
      <c r="S460" s="5">
        <v>0.0</v>
      </c>
      <c r="T460" s="5">
        <v>219.845133670414</v>
      </c>
    </row>
    <row r="461">
      <c r="A461" s="5">
        <v>459.0</v>
      </c>
      <c r="B461" s="6">
        <v>44249.0</v>
      </c>
      <c r="C461" s="5">
        <v>214.914224494608</v>
      </c>
      <c r="D461" s="5">
        <v>178.355488795277</v>
      </c>
      <c r="E461" s="5">
        <v>258.470391064319</v>
      </c>
      <c r="F461" s="5">
        <v>214.914224494608</v>
      </c>
      <c r="G461" s="5">
        <v>214.914224494608</v>
      </c>
      <c r="H461" s="5">
        <v>3.12569925330397</v>
      </c>
      <c r="I461" s="5">
        <v>3.12569925330397</v>
      </c>
      <c r="J461" s="5">
        <v>3.12569925330397</v>
      </c>
      <c r="K461" s="5">
        <v>1.16457933345159</v>
      </c>
      <c r="L461" s="5">
        <v>1.16457933345159</v>
      </c>
      <c r="M461" s="5">
        <v>1.16457933345159</v>
      </c>
      <c r="N461" s="5">
        <v>1.96111991985238</v>
      </c>
      <c r="O461" s="5">
        <v>1.96111991985238</v>
      </c>
      <c r="P461" s="5">
        <v>1.96111991985238</v>
      </c>
      <c r="Q461" s="5">
        <v>0.0</v>
      </c>
      <c r="R461" s="5">
        <v>0.0</v>
      </c>
      <c r="S461" s="5">
        <v>0.0</v>
      </c>
      <c r="T461" s="5">
        <v>218.039923747912</v>
      </c>
    </row>
    <row r="462">
      <c r="A462" s="5">
        <v>460.0</v>
      </c>
      <c r="B462" s="6">
        <v>44250.0</v>
      </c>
      <c r="C462" s="5">
        <v>215.224902396224</v>
      </c>
      <c r="D462" s="5">
        <v>174.487024049604</v>
      </c>
      <c r="E462" s="5">
        <v>255.610414841144</v>
      </c>
      <c r="F462" s="5">
        <v>215.224902396224</v>
      </c>
      <c r="G462" s="5">
        <v>215.224902396224</v>
      </c>
      <c r="H462" s="5">
        <v>0.379560059903125</v>
      </c>
      <c r="I462" s="5">
        <v>0.379560059903125</v>
      </c>
      <c r="J462" s="5">
        <v>0.379560059903125</v>
      </c>
      <c r="K462" s="5">
        <v>0.247324772138582</v>
      </c>
      <c r="L462" s="5">
        <v>0.247324772138582</v>
      </c>
      <c r="M462" s="5">
        <v>0.247324772138582</v>
      </c>
      <c r="N462" s="5">
        <v>0.132235287764543</v>
      </c>
      <c r="O462" s="5">
        <v>0.132235287764543</v>
      </c>
      <c r="P462" s="5">
        <v>0.132235287764543</v>
      </c>
      <c r="Q462" s="5">
        <v>0.0</v>
      </c>
      <c r="R462" s="5">
        <v>0.0</v>
      </c>
      <c r="S462" s="5">
        <v>0.0</v>
      </c>
      <c r="T462" s="5">
        <v>215.604462456127</v>
      </c>
    </row>
    <row r="463">
      <c r="A463" s="5">
        <v>461.0</v>
      </c>
      <c r="B463" s="6">
        <v>44251.0</v>
      </c>
      <c r="C463" s="5">
        <v>215.535580297839</v>
      </c>
      <c r="D463" s="5">
        <v>175.167319825597</v>
      </c>
      <c r="E463" s="5">
        <v>255.552582703843</v>
      </c>
      <c r="F463" s="5">
        <v>215.535580297839</v>
      </c>
      <c r="G463" s="5">
        <v>215.535580297839</v>
      </c>
      <c r="H463" s="5">
        <v>-1.18473730240039</v>
      </c>
      <c r="I463" s="5">
        <v>-1.18473730240039</v>
      </c>
      <c r="J463" s="5">
        <v>-1.18473730240039</v>
      </c>
      <c r="K463" s="5">
        <v>0.608132553625661</v>
      </c>
      <c r="L463" s="5">
        <v>0.608132553625661</v>
      </c>
      <c r="M463" s="5">
        <v>0.608132553625661</v>
      </c>
      <c r="N463" s="5">
        <v>-1.79286985602605</v>
      </c>
      <c r="O463" s="5">
        <v>-1.79286985602605</v>
      </c>
      <c r="P463" s="5">
        <v>-1.79286985602605</v>
      </c>
      <c r="Q463" s="5">
        <v>0.0</v>
      </c>
      <c r="R463" s="5">
        <v>0.0</v>
      </c>
      <c r="S463" s="5">
        <v>0.0</v>
      </c>
      <c r="T463" s="5">
        <v>214.350842995439</v>
      </c>
    </row>
    <row r="464">
      <c r="A464" s="5">
        <v>462.0</v>
      </c>
      <c r="B464" s="6">
        <v>44252.0</v>
      </c>
      <c r="C464" s="5">
        <v>215.846258199455</v>
      </c>
      <c r="D464" s="5">
        <v>171.589361392096</v>
      </c>
      <c r="E464" s="5">
        <v>251.413137085139</v>
      </c>
      <c r="F464" s="5">
        <v>215.846258199455</v>
      </c>
      <c r="G464" s="5">
        <v>215.846258199455</v>
      </c>
      <c r="H464" s="5">
        <v>-4.00874934730118</v>
      </c>
      <c r="I464" s="5">
        <v>-4.00874934730118</v>
      </c>
      <c r="J464" s="5">
        <v>-4.00874934730118</v>
      </c>
      <c r="K464" s="5">
        <v>-0.225417905347172</v>
      </c>
      <c r="L464" s="5">
        <v>-0.225417905347172</v>
      </c>
      <c r="M464" s="5">
        <v>-0.225417905347172</v>
      </c>
      <c r="N464" s="5">
        <v>-3.78333144195401</v>
      </c>
      <c r="O464" s="5">
        <v>-3.78333144195401</v>
      </c>
      <c r="P464" s="5">
        <v>-3.78333144195401</v>
      </c>
      <c r="Q464" s="5">
        <v>0.0</v>
      </c>
      <c r="R464" s="5">
        <v>0.0</v>
      </c>
      <c r="S464" s="5">
        <v>0.0</v>
      </c>
      <c r="T464" s="5">
        <v>211.837508852154</v>
      </c>
    </row>
    <row r="465">
      <c r="A465" s="5">
        <v>463.0</v>
      </c>
      <c r="B465" s="6">
        <v>44253.0</v>
      </c>
      <c r="C465" s="5">
        <v>216.156936101071</v>
      </c>
      <c r="D465" s="5">
        <v>168.505278753585</v>
      </c>
      <c r="E465" s="5">
        <v>249.994888554607</v>
      </c>
      <c r="F465" s="5">
        <v>216.156936101071</v>
      </c>
      <c r="G465" s="5">
        <v>216.156936101071</v>
      </c>
      <c r="H465" s="5">
        <v>-6.5461759811089</v>
      </c>
      <c r="I465" s="5">
        <v>-6.5461759811089</v>
      </c>
      <c r="J465" s="5">
        <v>-6.5461759811089</v>
      </c>
      <c r="K465" s="5">
        <v>-0.739640081279164</v>
      </c>
      <c r="L465" s="5">
        <v>-0.739640081279164</v>
      </c>
      <c r="M465" s="5">
        <v>-0.739640081279164</v>
      </c>
      <c r="N465" s="5">
        <v>-5.80653589982973</v>
      </c>
      <c r="O465" s="5">
        <v>-5.80653589982973</v>
      </c>
      <c r="P465" s="5">
        <v>-5.80653589982973</v>
      </c>
      <c r="Q465" s="5">
        <v>0.0</v>
      </c>
      <c r="R465" s="5">
        <v>0.0</v>
      </c>
      <c r="S465" s="5">
        <v>0.0</v>
      </c>
      <c r="T465" s="5">
        <v>209.610760119962</v>
      </c>
    </row>
    <row r="466">
      <c r="A466" s="5">
        <v>464.0</v>
      </c>
      <c r="B466" s="6">
        <v>44256.0</v>
      </c>
      <c r="C466" s="5">
        <v>217.088969805918</v>
      </c>
      <c r="D466" s="5">
        <v>166.696072146661</v>
      </c>
      <c r="E466" s="5">
        <v>244.88163676801</v>
      </c>
      <c r="F466" s="5">
        <v>217.088969805918</v>
      </c>
      <c r="G466" s="5">
        <v>217.088969805918</v>
      </c>
      <c r="H466" s="5">
        <v>-10.5716750294618</v>
      </c>
      <c r="I466" s="5">
        <v>-10.5716750294618</v>
      </c>
      <c r="J466" s="5">
        <v>-10.5716750294618</v>
      </c>
      <c r="K466" s="5">
        <v>1.16457933345021</v>
      </c>
      <c r="L466" s="5">
        <v>1.16457933345021</v>
      </c>
      <c r="M466" s="5">
        <v>1.16457933345021</v>
      </c>
      <c r="N466" s="5">
        <v>-11.736254362912</v>
      </c>
      <c r="O466" s="5">
        <v>-11.736254362912</v>
      </c>
      <c r="P466" s="5">
        <v>-11.736254362912</v>
      </c>
      <c r="Q466" s="5">
        <v>0.0</v>
      </c>
      <c r="R466" s="5">
        <v>0.0</v>
      </c>
      <c r="S466" s="5">
        <v>0.0</v>
      </c>
      <c r="T466" s="5">
        <v>206.517294776456</v>
      </c>
    </row>
    <row r="467">
      <c r="A467" s="5">
        <v>465.0</v>
      </c>
      <c r="B467" s="6">
        <v>44257.0</v>
      </c>
      <c r="C467" s="5">
        <v>217.399647707534</v>
      </c>
      <c r="D467" s="5">
        <v>166.526291147941</v>
      </c>
      <c r="E467" s="5">
        <v>242.807078300319</v>
      </c>
      <c r="F467" s="5">
        <v>217.399647707534</v>
      </c>
      <c r="G467" s="5">
        <v>217.399647707534</v>
      </c>
      <c r="H467" s="5">
        <v>-13.3088045152001</v>
      </c>
      <c r="I467" s="5">
        <v>-13.3088045152001</v>
      </c>
      <c r="J467" s="5">
        <v>-13.3088045152001</v>
      </c>
      <c r="K467" s="5">
        <v>0.247324772140093</v>
      </c>
      <c r="L467" s="5">
        <v>0.247324772140093</v>
      </c>
      <c r="M467" s="5">
        <v>0.247324772140093</v>
      </c>
      <c r="N467" s="5">
        <v>-13.5561292873402</v>
      </c>
      <c r="O467" s="5">
        <v>-13.5561292873402</v>
      </c>
      <c r="P467" s="5">
        <v>-13.5561292873402</v>
      </c>
      <c r="Q467" s="5">
        <v>0.0</v>
      </c>
      <c r="R467" s="5">
        <v>0.0</v>
      </c>
      <c r="S467" s="5">
        <v>0.0</v>
      </c>
      <c r="T467" s="5">
        <v>204.090843192334</v>
      </c>
    </row>
    <row r="468">
      <c r="A468" s="5">
        <v>466.0</v>
      </c>
      <c r="B468" s="6">
        <v>44258.0</v>
      </c>
      <c r="C468" s="5">
        <v>217.71032560915</v>
      </c>
      <c r="D468" s="5">
        <v>162.029313476497</v>
      </c>
      <c r="E468" s="5">
        <v>242.797033996767</v>
      </c>
      <c r="F468" s="5">
        <v>217.71032560915</v>
      </c>
      <c r="G468" s="5">
        <v>217.71032560915</v>
      </c>
      <c r="H468" s="5">
        <v>-14.6381816166842</v>
      </c>
      <c r="I468" s="5">
        <v>-14.6381816166842</v>
      </c>
      <c r="J468" s="5">
        <v>-14.6381816166842</v>
      </c>
      <c r="K468" s="5">
        <v>0.60813255362744</v>
      </c>
      <c r="L468" s="5">
        <v>0.60813255362744</v>
      </c>
      <c r="M468" s="5">
        <v>0.60813255362744</v>
      </c>
      <c r="N468" s="5">
        <v>-15.2463141703116</v>
      </c>
      <c r="O468" s="5">
        <v>-15.2463141703116</v>
      </c>
      <c r="P468" s="5">
        <v>-15.2463141703116</v>
      </c>
      <c r="Q468" s="5">
        <v>0.0</v>
      </c>
      <c r="R468" s="5">
        <v>0.0</v>
      </c>
      <c r="S468" s="5">
        <v>0.0</v>
      </c>
      <c r="T468" s="5">
        <v>203.072143992466</v>
      </c>
    </row>
    <row r="469">
      <c r="A469" s="5">
        <v>467.0</v>
      </c>
      <c r="B469" s="6">
        <v>44259.0</v>
      </c>
      <c r="C469" s="5">
        <v>218.021003510765</v>
      </c>
      <c r="D469" s="5">
        <v>159.149178753104</v>
      </c>
      <c r="E469" s="5">
        <v>242.146532034615</v>
      </c>
      <c r="F469" s="5">
        <v>218.021003510765</v>
      </c>
      <c r="G469" s="5">
        <v>218.021003510765</v>
      </c>
      <c r="H469" s="5">
        <v>-17.0051308354478</v>
      </c>
      <c r="I469" s="5">
        <v>-17.0051308354478</v>
      </c>
      <c r="J469" s="5">
        <v>-17.0051308354478</v>
      </c>
      <c r="K469" s="5">
        <v>-0.225417905350136</v>
      </c>
      <c r="L469" s="5">
        <v>-0.225417905350136</v>
      </c>
      <c r="M469" s="5">
        <v>-0.225417905350136</v>
      </c>
      <c r="N469" s="5">
        <v>-16.7797129300976</v>
      </c>
      <c r="O469" s="5">
        <v>-16.7797129300976</v>
      </c>
      <c r="P469" s="5">
        <v>-16.7797129300976</v>
      </c>
      <c r="Q469" s="5">
        <v>0.0</v>
      </c>
      <c r="R469" s="5">
        <v>0.0</v>
      </c>
      <c r="S469" s="5">
        <v>0.0</v>
      </c>
      <c r="T469" s="5">
        <v>201.015872675318</v>
      </c>
    </row>
    <row r="470">
      <c r="A470" s="5">
        <v>468.0</v>
      </c>
      <c r="B470" s="6">
        <v>44260.0</v>
      </c>
      <c r="C470" s="5">
        <v>218.331681412381</v>
      </c>
      <c r="D470" s="5">
        <v>158.206775575863</v>
      </c>
      <c r="E470" s="5">
        <v>239.553265808733</v>
      </c>
      <c r="F470" s="5">
        <v>218.331681412381</v>
      </c>
      <c r="G470" s="5">
        <v>218.331681412381</v>
      </c>
      <c r="H470" s="5">
        <v>-18.8722234340886</v>
      </c>
      <c r="I470" s="5">
        <v>-18.8722234340886</v>
      </c>
      <c r="J470" s="5">
        <v>-18.8722234340886</v>
      </c>
      <c r="K470" s="5">
        <v>-0.739640081281691</v>
      </c>
      <c r="L470" s="5">
        <v>-0.739640081281691</v>
      </c>
      <c r="M470" s="5">
        <v>-0.739640081281691</v>
      </c>
      <c r="N470" s="5">
        <v>-18.1325833528069</v>
      </c>
      <c r="O470" s="5">
        <v>-18.1325833528069</v>
      </c>
      <c r="P470" s="5">
        <v>-18.1325833528069</v>
      </c>
      <c r="Q470" s="5">
        <v>0.0</v>
      </c>
      <c r="R470" s="5">
        <v>0.0</v>
      </c>
      <c r="S470" s="5">
        <v>0.0</v>
      </c>
      <c r="T470" s="5">
        <v>199.459457978293</v>
      </c>
    </row>
    <row r="471">
      <c r="A471" s="5">
        <v>469.0</v>
      </c>
      <c r="B471" s="6">
        <v>44263.0</v>
      </c>
      <c r="C471" s="5">
        <v>219.263715117228</v>
      </c>
      <c r="D471" s="5">
        <v>158.653001781842</v>
      </c>
      <c r="E471" s="5">
        <v>240.451028479478</v>
      </c>
      <c r="F471" s="5">
        <v>219.263715117228</v>
      </c>
      <c r="G471" s="5">
        <v>219.263715117228</v>
      </c>
      <c r="H471" s="5">
        <v>-19.7665718990502</v>
      </c>
      <c r="I471" s="5">
        <v>-19.7665718990502</v>
      </c>
      <c r="J471" s="5">
        <v>-19.7665718990502</v>
      </c>
      <c r="K471" s="5">
        <v>1.16457933345054</v>
      </c>
      <c r="L471" s="5">
        <v>1.16457933345054</v>
      </c>
      <c r="M471" s="5">
        <v>1.16457933345054</v>
      </c>
      <c r="N471" s="5">
        <v>-20.9311512325008</v>
      </c>
      <c r="O471" s="5">
        <v>-20.9311512325008</v>
      </c>
      <c r="P471" s="5">
        <v>-20.9311512325008</v>
      </c>
      <c r="Q471" s="5">
        <v>0.0</v>
      </c>
      <c r="R471" s="5">
        <v>0.0</v>
      </c>
      <c r="S471" s="5">
        <v>0.0</v>
      </c>
      <c r="T471" s="5">
        <v>199.497143218178</v>
      </c>
    </row>
    <row r="472">
      <c r="A472" s="5">
        <v>470.0</v>
      </c>
      <c r="B472" s="6">
        <v>44264.0</v>
      </c>
      <c r="C472" s="5">
        <v>219.574393018844</v>
      </c>
      <c r="D472" s="5">
        <v>158.38983496311</v>
      </c>
      <c r="E472" s="5">
        <v>242.710357838587</v>
      </c>
      <c r="F472" s="5">
        <v>219.574393018844</v>
      </c>
      <c r="G472" s="5">
        <v>219.574393018844</v>
      </c>
      <c r="H472" s="5">
        <v>-21.160337982802</v>
      </c>
      <c r="I472" s="5">
        <v>-21.160337982802</v>
      </c>
      <c r="J472" s="5">
        <v>-21.160337982802</v>
      </c>
      <c r="K472" s="5">
        <v>0.247324772138759</v>
      </c>
      <c r="L472" s="5">
        <v>0.247324772138759</v>
      </c>
      <c r="M472" s="5">
        <v>0.247324772138759</v>
      </c>
      <c r="N472" s="5">
        <v>-21.4076627549407</v>
      </c>
      <c r="O472" s="5">
        <v>-21.4076627549407</v>
      </c>
      <c r="P472" s="5">
        <v>-21.4076627549407</v>
      </c>
      <c r="Q472" s="5">
        <v>0.0</v>
      </c>
      <c r="R472" s="5">
        <v>0.0</v>
      </c>
      <c r="S472" s="5">
        <v>0.0</v>
      </c>
      <c r="T472" s="5">
        <v>198.414055036042</v>
      </c>
    </row>
    <row r="473">
      <c r="A473" s="5">
        <v>471.0</v>
      </c>
      <c r="B473" s="6">
        <v>44265.0</v>
      </c>
      <c r="C473" s="5">
        <v>219.88507092046</v>
      </c>
      <c r="D473" s="5">
        <v>158.916260293417</v>
      </c>
      <c r="E473" s="5">
        <v>241.119798803907</v>
      </c>
      <c r="F473" s="5">
        <v>219.88507092046</v>
      </c>
      <c r="G473" s="5">
        <v>219.88507092046</v>
      </c>
      <c r="H473" s="5">
        <v>-21.041710319565</v>
      </c>
      <c r="I473" s="5">
        <v>-21.041710319565</v>
      </c>
      <c r="J473" s="5">
        <v>-21.041710319565</v>
      </c>
      <c r="K473" s="5">
        <v>0.60813255362655</v>
      </c>
      <c r="L473" s="5">
        <v>0.60813255362655</v>
      </c>
      <c r="M473" s="5">
        <v>0.60813255362655</v>
      </c>
      <c r="N473" s="5">
        <v>-21.6498428731916</v>
      </c>
      <c r="O473" s="5">
        <v>-21.6498428731916</v>
      </c>
      <c r="P473" s="5">
        <v>-21.6498428731916</v>
      </c>
      <c r="Q473" s="5">
        <v>0.0</v>
      </c>
      <c r="R473" s="5">
        <v>0.0</v>
      </c>
      <c r="S473" s="5">
        <v>0.0</v>
      </c>
      <c r="T473" s="5">
        <v>198.843360600895</v>
      </c>
    </row>
    <row r="474">
      <c r="A474" s="5">
        <v>472.0</v>
      </c>
      <c r="B474" s="6">
        <v>44266.0</v>
      </c>
      <c r="C474" s="5">
        <v>220.195748822076</v>
      </c>
      <c r="D474" s="5">
        <v>158.480796632188</v>
      </c>
      <c r="E474" s="5">
        <v>239.123957039046</v>
      </c>
      <c r="F474" s="5">
        <v>220.195748822076</v>
      </c>
      <c r="G474" s="5">
        <v>220.195748822076</v>
      </c>
      <c r="H474" s="5">
        <v>-21.8867002438121</v>
      </c>
      <c r="I474" s="5">
        <v>-21.8867002438121</v>
      </c>
      <c r="J474" s="5">
        <v>-21.8867002438121</v>
      </c>
      <c r="K474" s="5">
        <v>-0.22541790534633</v>
      </c>
      <c r="L474" s="5">
        <v>-0.22541790534633</v>
      </c>
      <c r="M474" s="5">
        <v>-0.22541790534633</v>
      </c>
      <c r="N474" s="5">
        <v>-21.6612823384657</v>
      </c>
      <c r="O474" s="5">
        <v>-21.6612823384657</v>
      </c>
      <c r="P474" s="5">
        <v>-21.6612823384657</v>
      </c>
      <c r="Q474" s="5">
        <v>0.0</v>
      </c>
      <c r="R474" s="5">
        <v>0.0</v>
      </c>
      <c r="S474" s="5">
        <v>0.0</v>
      </c>
      <c r="T474" s="5">
        <v>198.309048578264</v>
      </c>
    </row>
    <row r="475">
      <c r="A475" s="5">
        <v>473.0</v>
      </c>
      <c r="B475" s="6">
        <v>44267.0</v>
      </c>
      <c r="C475" s="5">
        <v>220.506426723691</v>
      </c>
      <c r="D475" s="5">
        <v>158.536842205942</v>
      </c>
      <c r="E475" s="5">
        <v>242.468179818546</v>
      </c>
      <c r="F475" s="5">
        <v>220.506426723691</v>
      </c>
      <c r="G475" s="5">
        <v>220.506426723691</v>
      </c>
      <c r="H475" s="5">
        <v>-22.189903186349</v>
      </c>
      <c r="I475" s="5">
        <v>-22.189903186349</v>
      </c>
      <c r="J475" s="5">
        <v>-22.189903186349</v>
      </c>
      <c r="K475" s="5">
        <v>-0.739640081282846</v>
      </c>
      <c r="L475" s="5">
        <v>-0.739640081282846</v>
      </c>
      <c r="M475" s="5">
        <v>-0.739640081282846</v>
      </c>
      <c r="N475" s="5">
        <v>-21.4502631050662</v>
      </c>
      <c r="O475" s="5">
        <v>-21.4502631050662</v>
      </c>
      <c r="P475" s="5">
        <v>-21.4502631050662</v>
      </c>
      <c r="Q475" s="5">
        <v>0.0</v>
      </c>
      <c r="R475" s="5">
        <v>0.0</v>
      </c>
      <c r="S475" s="5">
        <v>0.0</v>
      </c>
      <c r="T475" s="5">
        <v>198.316523537342</v>
      </c>
    </row>
    <row r="476">
      <c r="A476" s="5">
        <v>474.0</v>
      </c>
      <c r="B476" s="6">
        <v>44270.0</v>
      </c>
      <c r="C476" s="5">
        <v>221.438460428539</v>
      </c>
      <c r="D476" s="5">
        <v>163.804649904713</v>
      </c>
      <c r="E476" s="5">
        <v>244.856735221287</v>
      </c>
      <c r="F476" s="5">
        <v>221.438460428539</v>
      </c>
      <c r="G476" s="5">
        <v>221.438460428539</v>
      </c>
      <c r="H476" s="5">
        <v>-18.4646703016632</v>
      </c>
      <c r="I476" s="5">
        <v>-18.4646703016632</v>
      </c>
      <c r="J476" s="5">
        <v>-18.4646703016632</v>
      </c>
      <c r="K476" s="5">
        <v>1.16457933345078</v>
      </c>
      <c r="L476" s="5">
        <v>1.16457933345078</v>
      </c>
      <c r="M476" s="5">
        <v>1.16457933345078</v>
      </c>
      <c r="N476" s="5">
        <v>-19.629249635114</v>
      </c>
      <c r="O476" s="5">
        <v>-19.629249635114</v>
      </c>
      <c r="P476" s="5">
        <v>-19.629249635114</v>
      </c>
      <c r="Q476" s="5">
        <v>0.0</v>
      </c>
      <c r="R476" s="5">
        <v>0.0</v>
      </c>
      <c r="S476" s="5">
        <v>0.0</v>
      </c>
      <c r="T476" s="5">
        <v>202.973790126875</v>
      </c>
    </row>
    <row r="477">
      <c r="A477" s="5">
        <v>475.0</v>
      </c>
      <c r="B477" s="6">
        <v>44271.0</v>
      </c>
      <c r="C477" s="5">
        <v>221.749138330154</v>
      </c>
      <c r="D477" s="5">
        <v>162.178634042318</v>
      </c>
      <c r="E477" s="5">
        <v>243.549768676182</v>
      </c>
      <c r="F477" s="5">
        <v>221.749138330154</v>
      </c>
      <c r="G477" s="5">
        <v>221.749138330154</v>
      </c>
      <c r="H477" s="5">
        <v>-18.4461547349069</v>
      </c>
      <c r="I477" s="5">
        <v>-18.4461547349069</v>
      </c>
      <c r="J477" s="5">
        <v>-18.4461547349069</v>
      </c>
      <c r="K477" s="5">
        <v>0.247324772138847</v>
      </c>
      <c r="L477" s="5">
        <v>0.247324772138847</v>
      </c>
      <c r="M477" s="5">
        <v>0.247324772138847</v>
      </c>
      <c r="N477" s="5">
        <v>-18.6934795070458</v>
      </c>
      <c r="O477" s="5">
        <v>-18.6934795070458</v>
      </c>
      <c r="P477" s="5">
        <v>-18.6934795070458</v>
      </c>
      <c r="Q477" s="5">
        <v>0.0</v>
      </c>
      <c r="R477" s="5">
        <v>0.0</v>
      </c>
      <c r="S477" s="5">
        <v>0.0</v>
      </c>
      <c r="T477" s="5">
        <v>203.302983595247</v>
      </c>
    </row>
    <row r="478">
      <c r="A478" s="5">
        <v>476.0</v>
      </c>
      <c r="B478" s="6">
        <v>44272.0</v>
      </c>
      <c r="C478" s="5">
        <v>222.05981623177</v>
      </c>
      <c r="D478" s="5">
        <v>166.397253565976</v>
      </c>
      <c r="E478" s="5">
        <v>246.238843508232</v>
      </c>
      <c r="F478" s="5">
        <v>222.05981623177</v>
      </c>
      <c r="G478" s="5">
        <v>222.05981623177</v>
      </c>
      <c r="H478" s="5">
        <v>-17.0260506654985</v>
      </c>
      <c r="I478" s="5">
        <v>-17.0260506654985</v>
      </c>
      <c r="J478" s="5">
        <v>-17.0260506654985</v>
      </c>
      <c r="K478" s="5">
        <v>0.608132553629883</v>
      </c>
      <c r="L478" s="5">
        <v>0.608132553629883</v>
      </c>
      <c r="M478" s="5">
        <v>0.608132553629883</v>
      </c>
      <c r="N478" s="5">
        <v>-17.6341832191283</v>
      </c>
      <c r="O478" s="5">
        <v>-17.6341832191283</v>
      </c>
      <c r="P478" s="5">
        <v>-17.6341832191283</v>
      </c>
      <c r="Q478" s="5">
        <v>0.0</v>
      </c>
      <c r="R478" s="5">
        <v>0.0</v>
      </c>
      <c r="S478" s="5">
        <v>0.0</v>
      </c>
      <c r="T478" s="5">
        <v>205.033765566272</v>
      </c>
    </row>
    <row r="479">
      <c r="A479" s="5">
        <v>477.0</v>
      </c>
      <c r="B479" s="6">
        <v>44273.0</v>
      </c>
      <c r="C479" s="5">
        <v>222.370494133386</v>
      </c>
      <c r="D479" s="5">
        <v>166.476477200532</v>
      </c>
      <c r="E479" s="5">
        <v>243.846919753503</v>
      </c>
      <c r="F479" s="5">
        <v>222.370494133386</v>
      </c>
      <c r="G479" s="5">
        <v>222.370494133386</v>
      </c>
      <c r="H479" s="5">
        <v>-16.7043304590479</v>
      </c>
      <c r="I479" s="5">
        <v>-16.7043304590479</v>
      </c>
      <c r="J479" s="5">
        <v>-16.7043304590479</v>
      </c>
      <c r="K479" s="5">
        <v>-0.225417905349294</v>
      </c>
      <c r="L479" s="5">
        <v>-0.225417905349294</v>
      </c>
      <c r="M479" s="5">
        <v>-0.225417905349294</v>
      </c>
      <c r="N479" s="5">
        <v>-16.4789125536986</v>
      </c>
      <c r="O479" s="5">
        <v>-16.4789125536986</v>
      </c>
      <c r="P479" s="5">
        <v>-16.4789125536986</v>
      </c>
      <c r="Q479" s="5">
        <v>0.0</v>
      </c>
      <c r="R479" s="5">
        <v>0.0</v>
      </c>
      <c r="S479" s="5">
        <v>0.0</v>
      </c>
      <c r="T479" s="5">
        <v>205.666163674338</v>
      </c>
    </row>
    <row r="480">
      <c r="A480" s="5">
        <v>478.0</v>
      </c>
      <c r="B480" s="6">
        <v>44274.0</v>
      </c>
      <c r="C480" s="5">
        <v>222.681172035002</v>
      </c>
      <c r="D480" s="5">
        <v>168.540347251359</v>
      </c>
      <c r="E480" s="5">
        <v>244.664723010215</v>
      </c>
      <c r="F480" s="5">
        <v>222.681172035002</v>
      </c>
      <c r="G480" s="5">
        <v>222.681172035002</v>
      </c>
      <c r="H480" s="5">
        <v>-15.9959368911726</v>
      </c>
      <c r="I480" s="5">
        <v>-15.9959368911726</v>
      </c>
      <c r="J480" s="5">
        <v>-15.9959368911726</v>
      </c>
      <c r="K480" s="5">
        <v>-0.739640081284002</v>
      </c>
      <c r="L480" s="5">
        <v>-0.739640081284002</v>
      </c>
      <c r="M480" s="5">
        <v>-0.739640081284002</v>
      </c>
      <c r="N480" s="5">
        <v>-15.2562968098886</v>
      </c>
      <c r="O480" s="5">
        <v>-15.2562968098886</v>
      </c>
      <c r="P480" s="5">
        <v>-15.2562968098886</v>
      </c>
      <c r="Q480" s="5">
        <v>0.0</v>
      </c>
      <c r="R480" s="5">
        <v>0.0</v>
      </c>
      <c r="S480" s="5">
        <v>0.0</v>
      </c>
      <c r="T480" s="5">
        <v>206.685235143829</v>
      </c>
    </row>
    <row r="481">
      <c r="A481" s="5">
        <v>479.0</v>
      </c>
      <c r="B481" s="6">
        <v>44277.0</v>
      </c>
      <c r="C481" s="5">
        <v>223.613205739849</v>
      </c>
      <c r="D481" s="5">
        <v>173.804246768014</v>
      </c>
      <c r="E481" s="5">
        <v>253.028223848328</v>
      </c>
      <c r="F481" s="5">
        <v>223.613205739849</v>
      </c>
      <c r="G481" s="5">
        <v>223.613205739849</v>
      </c>
      <c r="H481" s="5">
        <v>-10.3076450445227</v>
      </c>
      <c r="I481" s="5">
        <v>-10.3076450445227</v>
      </c>
      <c r="J481" s="5">
        <v>-10.3076450445227</v>
      </c>
      <c r="K481" s="5">
        <v>1.16457933344949</v>
      </c>
      <c r="L481" s="5">
        <v>1.16457933344949</v>
      </c>
      <c r="M481" s="5">
        <v>1.16457933344949</v>
      </c>
      <c r="N481" s="5">
        <v>-11.4722243779722</v>
      </c>
      <c r="O481" s="5">
        <v>-11.4722243779722</v>
      </c>
      <c r="P481" s="5">
        <v>-11.4722243779722</v>
      </c>
      <c r="Q481" s="5">
        <v>0.0</v>
      </c>
      <c r="R481" s="5">
        <v>0.0</v>
      </c>
      <c r="S481" s="5">
        <v>0.0</v>
      </c>
      <c r="T481" s="5">
        <v>213.305560695326</v>
      </c>
    </row>
    <row r="482">
      <c r="A482" s="5">
        <v>480.0</v>
      </c>
      <c r="B482" s="6">
        <v>44278.0</v>
      </c>
      <c r="C482" s="5">
        <v>223.923883641465</v>
      </c>
      <c r="D482" s="5">
        <v>172.102539105782</v>
      </c>
      <c r="E482" s="5">
        <v>256.139396223213</v>
      </c>
      <c r="F482" s="5">
        <v>223.923883641465</v>
      </c>
      <c r="G482" s="5">
        <v>223.923883641465</v>
      </c>
      <c r="H482" s="5">
        <v>-10.016556743316</v>
      </c>
      <c r="I482" s="5">
        <v>-10.016556743316</v>
      </c>
      <c r="J482" s="5">
        <v>-10.016556743316</v>
      </c>
      <c r="K482" s="5">
        <v>0.247324772138935</v>
      </c>
      <c r="L482" s="5">
        <v>0.247324772138935</v>
      </c>
      <c r="M482" s="5">
        <v>0.247324772138935</v>
      </c>
      <c r="N482" s="5">
        <v>-10.2638815154549</v>
      </c>
      <c r="O482" s="5">
        <v>-10.2638815154549</v>
      </c>
      <c r="P482" s="5">
        <v>-10.2638815154549</v>
      </c>
      <c r="Q482" s="5">
        <v>0.0</v>
      </c>
      <c r="R482" s="5">
        <v>0.0</v>
      </c>
      <c r="S482" s="5">
        <v>0.0</v>
      </c>
      <c r="T482" s="5">
        <v>213.907326898149</v>
      </c>
    </row>
    <row r="483">
      <c r="A483" s="5">
        <v>481.0</v>
      </c>
      <c r="B483" s="6">
        <v>44279.0</v>
      </c>
      <c r="C483" s="5">
        <v>224.23456154308</v>
      </c>
      <c r="D483" s="5">
        <v>177.954560185956</v>
      </c>
      <c r="E483" s="5">
        <v>255.076199856654</v>
      </c>
      <c r="F483" s="5">
        <v>224.23456154308</v>
      </c>
      <c r="G483" s="5">
        <v>224.23456154308</v>
      </c>
      <c r="H483" s="5">
        <v>-8.51552394448897</v>
      </c>
      <c r="I483" s="5">
        <v>-8.51552394448897</v>
      </c>
      <c r="J483" s="5">
        <v>-8.51552394448897</v>
      </c>
      <c r="K483" s="5">
        <v>0.608132553626325</v>
      </c>
      <c r="L483" s="5">
        <v>0.608132553626325</v>
      </c>
      <c r="M483" s="5">
        <v>0.608132553626325</v>
      </c>
      <c r="N483" s="5">
        <v>-9.1236564981153</v>
      </c>
      <c r="O483" s="5">
        <v>-9.1236564981153</v>
      </c>
      <c r="P483" s="5">
        <v>-9.1236564981153</v>
      </c>
      <c r="Q483" s="5">
        <v>0.0</v>
      </c>
      <c r="R483" s="5">
        <v>0.0</v>
      </c>
      <c r="S483" s="5">
        <v>0.0</v>
      </c>
      <c r="T483" s="5">
        <v>215.719037598591</v>
      </c>
    </row>
    <row r="484">
      <c r="A484" s="5">
        <v>482.0</v>
      </c>
      <c r="B484" s="6">
        <v>44280.0</v>
      </c>
      <c r="C484" s="5">
        <v>224.545239444696</v>
      </c>
      <c r="D484" s="5">
        <v>176.290728053203</v>
      </c>
      <c r="E484" s="5">
        <v>255.246631646036</v>
      </c>
      <c r="F484" s="5">
        <v>224.545239444696</v>
      </c>
      <c r="G484" s="5">
        <v>224.545239444696</v>
      </c>
      <c r="H484" s="5">
        <v>-8.29823558956835</v>
      </c>
      <c r="I484" s="5">
        <v>-8.29823558956835</v>
      </c>
      <c r="J484" s="5">
        <v>-8.29823558956835</v>
      </c>
      <c r="K484" s="5">
        <v>-0.225417905352259</v>
      </c>
      <c r="L484" s="5">
        <v>-0.225417905352259</v>
      </c>
      <c r="M484" s="5">
        <v>-0.225417905352259</v>
      </c>
      <c r="N484" s="5">
        <v>-8.0728176842161</v>
      </c>
      <c r="O484" s="5">
        <v>-8.0728176842161</v>
      </c>
      <c r="P484" s="5">
        <v>-8.0728176842161</v>
      </c>
      <c r="Q484" s="5">
        <v>0.0</v>
      </c>
      <c r="R484" s="5">
        <v>0.0</v>
      </c>
      <c r="S484" s="5">
        <v>0.0</v>
      </c>
      <c r="T484" s="5">
        <v>216.247003855128</v>
      </c>
    </row>
    <row r="485">
      <c r="A485" s="5">
        <v>483.0</v>
      </c>
      <c r="B485" s="6">
        <v>44281.0</v>
      </c>
      <c r="C485" s="5">
        <v>224.855917346312</v>
      </c>
      <c r="D485" s="5">
        <v>177.97236360674</v>
      </c>
      <c r="E485" s="5">
        <v>255.378234569175</v>
      </c>
      <c r="F485" s="5">
        <v>224.855917346312</v>
      </c>
      <c r="G485" s="5">
        <v>224.855917346312</v>
      </c>
      <c r="H485" s="5">
        <v>-7.86919196581411</v>
      </c>
      <c r="I485" s="5">
        <v>-7.86919196581411</v>
      </c>
      <c r="J485" s="5">
        <v>-7.86919196581411</v>
      </c>
      <c r="K485" s="5">
        <v>-0.739640081281725</v>
      </c>
      <c r="L485" s="5">
        <v>-0.739640081281725</v>
      </c>
      <c r="M485" s="5">
        <v>-0.739640081281725</v>
      </c>
      <c r="N485" s="5">
        <v>-7.12955188453238</v>
      </c>
      <c r="O485" s="5">
        <v>-7.12955188453238</v>
      </c>
      <c r="P485" s="5">
        <v>-7.12955188453238</v>
      </c>
      <c r="Q485" s="5">
        <v>0.0</v>
      </c>
      <c r="R485" s="5">
        <v>0.0</v>
      </c>
      <c r="S485" s="5">
        <v>0.0</v>
      </c>
      <c r="T485" s="5">
        <v>216.986725380498</v>
      </c>
    </row>
    <row r="486">
      <c r="A486" s="5">
        <v>484.0</v>
      </c>
      <c r="B486" s="6">
        <v>44284.0</v>
      </c>
      <c r="C486" s="5">
        <v>225.787951106788</v>
      </c>
      <c r="D486" s="5">
        <v>181.810310763176</v>
      </c>
      <c r="E486" s="5">
        <v>260.280894401184</v>
      </c>
      <c r="F486" s="5">
        <v>225.787951106788</v>
      </c>
      <c r="G486" s="5">
        <v>225.787951106788</v>
      </c>
      <c r="H486" s="5">
        <v>-3.91021240641077</v>
      </c>
      <c r="I486" s="5">
        <v>-3.91021240641077</v>
      </c>
      <c r="J486" s="5">
        <v>-3.91021240641077</v>
      </c>
      <c r="K486" s="5">
        <v>1.16457933344973</v>
      </c>
      <c r="L486" s="5">
        <v>1.16457933344973</v>
      </c>
      <c r="M486" s="5">
        <v>1.16457933344973</v>
      </c>
      <c r="N486" s="5">
        <v>-5.0747917398605</v>
      </c>
      <c r="O486" s="5">
        <v>-5.0747917398605</v>
      </c>
      <c r="P486" s="5">
        <v>-5.0747917398605</v>
      </c>
      <c r="Q486" s="5">
        <v>0.0</v>
      </c>
      <c r="R486" s="5">
        <v>0.0</v>
      </c>
      <c r="S486" s="5">
        <v>0.0</v>
      </c>
      <c r="T486" s="5">
        <v>221.877738700377</v>
      </c>
    </row>
    <row r="487">
      <c r="A487" s="5">
        <v>485.0</v>
      </c>
      <c r="B487" s="6">
        <v>44285.0</v>
      </c>
      <c r="C487" s="5">
        <v>226.098629026947</v>
      </c>
      <c r="D487" s="5">
        <v>182.78971460983</v>
      </c>
      <c r="E487" s="5">
        <v>262.821283940843</v>
      </c>
      <c r="F487" s="5">
        <v>226.098629026947</v>
      </c>
      <c r="G487" s="5">
        <v>226.098629026947</v>
      </c>
      <c r="H487" s="5">
        <v>-4.42559160844315</v>
      </c>
      <c r="I487" s="5">
        <v>-4.42559160844315</v>
      </c>
      <c r="J487" s="5">
        <v>-4.42559160844315</v>
      </c>
      <c r="K487" s="5">
        <v>0.247324772139024</v>
      </c>
      <c r="L487" s="5">
        <v>0.247324772139024</v>
      </c>
      <c r="M487" s="5">
        <v>0.247324772139024</v>
      </c>
      <c r="N487" s="5">
        <v>-4.67291638058217</v>
      </c>
      <c r="O487" s="5">
        <v>-4.67291638058217</v>
      </c>
      <c r="P487" s="5">
        <v>-4.67291638058217</v>
      </c>
      <c r="Q487" s="5">
        <v>0.0</v>
      </c>
      <c r="R487" s="5">
        <v>0.0</v>
      </c>
      <c r="S487" s="5">
        <v>0.0</v>
      </c>
      <c r="T487" s="5">
        <v>221.673037418504</v>
      </c>
    </row>
    <row r="488">
      <c r="A488" s="5">
        <v>486.0</v>
      </c>
      <c r="B488" s="6">
        <v>44286.0</v>
      </c>
      <c r="C488" s="5">
        <v>226.409306947106</v>
      </c>
      <c r="D488" s="5">
        <v>182.605186667214</v>
      </c>
      <c r="E488" s="5">
        <v>262.143172417229</v>
      </c>
      <c r="F488" s="5">
        <v>226.409306947106</v>
      </c>
      <c r="G488" s="5">
        <v>226.409306947106</v>
      </c>
      <c r="H488" s="5">
        <v>-3.80746898584814</v>
      </c>
      <c r="I488" s="5">
        <v>-3.80746898584814</v>
      </c>
      <c r="J488" s="5">
        <v>-3.80746898584814</v>
      </c>
      <c r="K488" s="5">
        <v>0.608132553628104</v>
      </c>
      <c r="L488" s="5">
        <v>0.608132553628104</v>
      </c>
      <c r="M488" s="5">
        <v>0.608132553628104</v>
      </c>
      <c r="N488" s="5">
        <v>-4.41560153947624</v>
      </c>
      <c r="O488" s="5">
        <v>-4.41560153947624</v>
      </c>
      <c r="P488" s="5">
        <v>-4.41560153947624</v>
      </c>
      <c r="Q488" s="5">
        <v>0.0</v>
      </c>
      <c r="R488" s="5">
        <v>0.0</v>
      </c>
      <c r="S488" s="5">
        <v>0.0</v>
      </c>
      <c r="T488" s="5">
        <v>222.601837961258</v>
      </c>
    </row>
    <row r="489">
      <c r="A489" s="5">
        <v>487.0</v>
      </c>
      <c r="B489" s="6">
        <v>44287.0</v>
      </c>
      <c r="C489" s="5">
        <v>226.719984867265</v>
      </c>
      <c r="D489" s="5">
        <v>184.523949390204</v>
      </c>
      <c r="E489" s="5">
        <v>262.10657945396</v>
      </c>
      <c r="F489" s="5">
        <v>226.719984867265</v>
      </c>
      <c r="G489" s="5">
        <v>226.719984867265</v>
      </c>
      <c r="H489" s="5">
        <v>-4.52474430550829</v>
      </c>
      <c r="I489" s="5">
        <v>-4.52474430550829</v>
      </c>
      <c r="J489" s="5">
        <v>-4.52474430550829</v>
      </c>
      <c r="K489" s="5">
        <v>-0.225417905351838</v>
      </c>
      <c r="L489" s="5">
        <v>-0.225417905351838</v>
      </c>
      <c r="M489" s="5">
        <v>-0.225417905351838</v>
      </c>
      <c r="N489" s="5">
        <v>-4.29932640015645</v>
      </c>
      <c r="O489" s="5">
        <v>-4.29932640015645</v>
      </c>
      <c r="P489" s="5">
        <v>-4.29932640015645</v>
      </c>
      <c r="Q489" s="5">
        <v>0.0</v>
      </c>
      <c r="R489" s="5">
        <v>0.0</v>
      </c>
      <c r="S489" s="5">
        <v>0.0</v>
      </c>
      <c r="T489" s="5">
        <v>222.195240561756</v>
      </c>
    </row>
    <row r="490">
      <c r="A490" s="5">
        <v>488.0</v>
      </c>
      <c r="B490" s="6">
        <v>44291.0</v>
      </c>
      <c r="C490" s="5">
        <v>227.9626965479</v>
      </c>
      <c r="D490" s="5">
        <v>187.038849909982</v>
      </c>
      <c r="E490" s="5">
        <v>266.378990065896</v>
      </c>
      <c r="F490" s="5">
        <v>227.9626965479</v>
      </c>
      <c r="G490" s="5">
        <v>227.9626965479</v>
      </c>
      <c r="H490" s="5">
        <v>-3.90446838956491</v>
      </c>
      <c r="I490" s="5">
        <v>-3.90446838956491</v>
      </c>
      <c r="J490" s="5">
        <v>-3.90446838956491</v>
      </c>
      <c r="K490" s="5">
        <v>1.16457933345017</v>
      </c>
      <c r="L490" s="5">
        <v>1.16457933345017</v>
      </c>
      <c r="M490" s="5">
        <v>1.16457933345017</v>
      </c>
      <c r="N490" s="5">
        <v>-5.06904772301508</v>
      </c>
      <c r="O490" s="5">
        <v>-5.06904772301508</v>
      </c>
      <c r="P490" s="5">
        <v>-5.06904772301508</v>
      </c>
      <c r="Q490" s="5">
        <v>0.0</v>
      </c>
      <c r="R490" s="5">
        <v>0.0</v>
      </c>
      <c r="S490" s="5">
        <v>0.0</v>
      </c>
      <c r="T490" s="5">
        <v>224.058228158335</v>
      </c>
    </row>
    <row r="491">
      <c r="A491" s="5">
        <v>489.0</v>
      </c>
      <c r="B491" s="6">
        <v>44292.0</v>
      </c>
      <c r="C491" s="5">
        <v>228.273374468059</v>
      </c>
      <c r="D491" s="5">
        <v>182.021303420939</v>
      </c>
      <c r="E491" s="5">
        <v>264.364702291714</v>
      </c>
      <c r="F491" s="5">
        <v>228.273374468059</v>
      </c>
      <c r="G491" s="5">
        <v>228.273374468059</v>
      </c>
      <c r="H491" s="5">
        <v>-5.25842376223027</v>
      </c>
      <c r="I491" s="5">
        <v>-5.25842376223027</v>
      </c>
      <c r="J491" s="5">
        <v>-5.25842376223027</v>
      </c>
      <c r="K491" s="5">
        <v>0.247324772137689</v>
      </c>
      <c r="L491" s="5">
        <v>0.247324772137689</v>
      </c>
      <c r="M491" s="5">
        <v>0.247324772137689</v>
      </c>
      <c r="N491" s="5">
        <v>-5.50574853436796</v>
      </c>
      <c r="O491" s="5">
        <v>-5.50574853436796</v>
      </c>
      <c r="P491" s="5">
        <v>-5.50574853436796</v>
      </c>
      <c r="Q491" s="5">
        <v>0.0</v>
      </c>
      <c r="R491" s="5">
        <v>0.0</v>
      </c>
      <c r="S491" s="5">
        <v>0.0</v>
      </c>
      <c r="T491" s="5">
        <v>223.014950705829</v>
      </c>
    </row>
    <row r="492">
      <c r="A492" s="5">
        <v>490.0</v>
      </c>
      <c r="B492" s="6">
        <v>44293.0</v>
      </c>
      <c r="C492" s="5">
        <v>228.584052388218</v>
      </c>
      <c r="D492" s="5">
        <v>184.954132056949</v>
      </c>
      <c r="E492" s="5">
        <v>261.368405616611</v>
      </c>
      <c r="F492" s="5">
        <v>228.584052388218</v>
      </c>
      <c r="G492" s="5">
        <v>228.584052388218</v>
      </c>
      <c r="H492" s="5">
        <v>-5.4007499689996</v>
      </c>
      <c r="I492" s="5">
        <v>-5.4007499689996</v>
      </c>
      <c r="J492" s="5">
        <v>-5.4007499689996</v>
      </c>
      <c r="K492" s="5">
        <v>0.608132553627214</v>
      </c>
      <c r="L492" s="5">
        <v>0.608132553627214</v>
      </c>
      <c r="M492" s="5">
        <v>0.608132553627214</v>
      </c>
      <c r="N492" s="5">
        <v>-6.00888252262681</v>
      </c>
      <c r="O492" s="5">
        <v>-6.00888252262681</v>
      </c>
      <c r="P492" s="5">
        <v>-6.00888252262681</v>
      </c>
      <c r="Q492" s="5">
        <v>0.0</v>
      </c>
      <c r="R492" s="5">
        <v>0.0</v>
      </c>
      <c r="S492" s="5">
        <v>0.0</v>
      </c>
      <c r="T492" s="5">
        <v>223.183302419218</v>
      </c>
    </row>
    <row r="493">
      <c r="A493" s="5">
        <v>491.0</v>
      </c>
      <c r="B493" s="6">
        <v>44294.0</v>
      </c>
      <c r="C493" s="5">
        <v>228.894730308376</v>
      </c>
      <c r="D493" s="5">
        <v>181.682501937953</v>
      </c>
      <c r="E493" s="5">
        <v>259.276655587297</v>
      </c>
      <c r="F493" s="5">
        <v>228.894730308376</v>
      </c>
      <c r="G493" s="5">
        <v>228.894730308376</v>
      </c>
      <c r="H493" s="5">
        <v>-6.78695564963799</v>
      </c>
      <c r="I493" s="5">
        <v>-6.78695564963799</v>
      </c>
      <c r="J493" s="5">
        <v>-6.78695564963799</v>
      </c>
      <c r="K493" s="5">
        <v>-0.225417905349491</v>
      </c>
      <c r="L493" s="5">
        <v>-0.225417905349491</v>
      </c>
      <c r="M493" s="5">
        <v>-0.225417905349491</v>
      </c>
      <c r="N493" s="5">
        <v>-6.5615377442885</v>
      </c>
      <c r="O493" s="5">
        <v>-6.5615377442885</v>
      </c>
      <c r="P493" s="5">
        <v>-6.5615377442885</v>
      </c>
      <c r="Q493" s="5">
        <v>0.0</v>
      </c>
      <c r="R493" s="5">
        <v>0.0</v>
      </c>
      <c r="S493" s="5">
        <v>0.0</v>
      </c>
      <c r="T493" s="5">
        <v>222.107774658738</v>
      </c>
    </row>
    <row r="494">
      <c r="A494" s="5">
        <v>492.0</v>
      </c>
      <c r="B494" s="6">
        <v>44295.0</v>
      </c>
      <c r="C494" s="5">
        <v>229.205408228535</v>
      </c>
      <c r="D494" s="5">
        <v>182.778700457197</v>
      </c>
      <c r="E494" s="5">
        <v>263.177448940643</v>
      </c>
      <c r="F494" s="5">
        <v>229.205408228535</v>
      </c>
      <c r="G494" s="5">
        <v>229.205408228535</v>
      </c>
      <c r="H494" s="5">
        <v>-7.88657143190045</v>
      </c>
      <c r="I494" s="5">
        <v>-7.88657143190045</v>
      </c>
      <c r="J494" s="5">
        <v>-7.88657143190045</v>
      </c>
      <c r="K494" s="5">
        <v>-0.739640081278543</v>
      </c>
      <c r="L494" s="5">
        <v>-0.739640081278543</v>
      </c>
      <c r="M494" s="5">
        <v>-0.739640081278543</v>
      </c>
      <c r="N494" s="5">
        <v>-7.1469313506219</v>
      </c>
      <c r="O494" s="5">
        <v>-7.1469313506219</v>
      </c>
      <c r="P494" s="5">
        <v>-7.1469313506219</v>
      </c>
      <c r="Q494" s="5">
        <v>0.0</v>
      </c>
      <c r="R494" s="5">
        <v>0.0</v>
      </c>
      <c r="S494" s="5">
        <v>0.0</v>
      </c>
      <c r="T494" s="5">
        <v>221.318836796635</v>
      </c>
    </row>
    <row r="495">
      <c r="A495" s="5">
        <v>493.0</v>
      </c>
      <c r="B495" s="6">
        <v>44298.0</v>
      </c>
      <c r="C495" s="5">
        <v>230.137441989012</v>
      </c>
      <c r="D495" s="5">
        <v>180.352212569545</v>
      </c>
      <c r="E495" s="5">
        <v>260.937170513973</v>
      </c>
      <c r="F495" s="5">
        <v>230.137441989012</v>
      </c>
      <c r="G495" s="5">
        <v>230.137441989012</v>
      </c>
      <c r="H495" s="5">
        <v>-7.77952974947839</v>
      </c>
      <c r="I495" s="5">
        <v>-7.77952974947839</v>
      </c>
      <c r="J495" s="5">
        <v>-7.77952974947839</v>
      </c>
      <c r="K495" s="5">
        <v>1.1645793334504</v>
      </c>
      <c r="L495" s="5">
        <v>1.1645793334504</v>
      </c>
      <c r="M495" s="5">
        <v>1.1645793334504</v>
      </c>
      <c r="N495" s="5">
        <v>-8.94410908292879</v>
      </c>
      <c r="O495" s="5">
        <v>-8.94410908292879</v>
      </c>
      <c r="P495" s="5">
        <v>-8.94410908292879</v>
      </c>
      <c r="Q495" s="5">
        <v>0.0</v>
      </c>
      <c r="R495" s="5">
        <v>0.0</v>
      </c>
      <c r="S495" s="5">
        <v>0.0</v>
      </c>
      <c r="T495" s="5">
        <v>222.357912239533</v>
      </c>
    </row>
    <row r="496">
      <c r="A496" s="5">
        <v>494.0</v>
      </c>
      <c r="B496" s="6">
        <v>44299.0</v>
      </c>
      <c r="C496" s="5">
        <v>230.44811990917</v>
      </c>
      <c r="D496" s="5">
        <v>178.893337823852</v>
      </c>
      <c r="E496" s="5">
        <v>262.311587598456</v>
      </c>
      <c r="F496" s="5">
        <v>230.44811990917</v>
      </c>
      <c r="G496" s="5">
        <v>230.44811990917</v>
      </c>
      <c r="H496" s="5">
        <v>-9.26489902190251</v>
      </c>
      <c r="I496" s="5">
        <v>-9.26489902190251</v>
      </c>
      <c r="J496" s="5">
        <v>-9.26489902190251</v>
      </c>
      <c r="K496" s="5">
        <v>0.247324772139075</v>
      </c>
      <c r="L496" s="5">
        <v>0.247324772139075</v>
      </c>
      <c r="M496" s="5">
        <v>0.247324772139075</v>
      </c>
      <c r="N496" s="5">
        <v>-9.51222379404159</v>
      </c>
      <c r="O496" s="5">
        <v>-9.51222379404159</v>
      </c>
      <c r="P496" s="5">
        <v>-9.51222379404159</v>
      </c>
      <c r="Q496" s="5">
        <v>0.0</v>
      </c>
      <c r="R496" s="5">
        <v>0.0</v>
      </c>
      <c r="S496" s="5">
        <v>0.0</v>
      </c>
      <c r="T496" s="5">
        <v>221.183220887268</v>
      </c>
    </row>
    <row r="497">
      <c r="A497" s="5">
        <v>495.0</v>
      </c>
      <c r="B497" s="6">
        <v>44300.0</v>
      </c>
      <c r="C497" s="5">
        <v>230.758797829329</v>
      </c>
      <c r="D497" s="5">
        <v>178.664437879192</v>
      </c>
      <c r="E497" s="5">
        <v>263.989039794637</v>
      </c>
      <c r="F497" s="5">
        <v>230.758797829329</v>
      </c>
      <c r="G497" s="5">
        <v>230.758797829329</v>
      </c>
      <c r="H497" s="5">
        <v>-9.43928519675362</v>
      </c>
      <c r="I497" s="5">
        <v>-9.43928519675362</v>
      </c>
      <c r="J497" s="5">
        <v>-9.43928519675362</v>
      </c>
      <c r="K497" s="5">
        <v>0.608132553626324</v>
      </c>
      <c r="L497" s="5">
        <v>0.608132553626324</v>
      </c>
      <c r="M497" s="5">
        <v>0.608132553626324</v>
      </c>
      <c r="N497" s="5">
        <v>-10.0474177503799</v>
      </c>
      <c r="O497" s="5">
        <v>-10.0474177503799</v>
      </c>
      <c r="P497" s="5">
        <v>-10.0474177503799</v>
      </c>
      <c r="Q497" s="5">
        <v>0.0</v>
      </c>
      <c r="R497" s="5">
        <v>0.0</v>
      </c>
      <c r="S497" s="5">
        <v>0.0</v>
      </c>
      <c r="T497" s="5">
        <v>221.319512632576</v>
      </c>
    </row>
    <row r="498">
      <c r="A498" s="5">
        <v>496.0</v>
      </c>
      <c r="B498" s="6">
        <v>44301.0</v>
      </c>
      <c r="C498" s="5">
        <v>231.069475749488</v>
      </c>
      <c r="D498" s="5">
        <v>182.567953263678</v>
      </c>
      <c r="E498" s="5">
        <v>259.002547028766</v>
      </c>
      <c r="F498" s="5">
        <v>231.069475749488</v>
      </c>
      <c r="G498" s="5">
        <v>231.069475749488</v>
      </c>
      <c r="H498" s="5">
        <v>-10.7681070546076</v>
      </c>
      <c r="I498" s="5">
        <v>-10.7681070546076</v>
      </c>
      <c r="J498" s="5">
        <v>-10.7681070546076</v>
      </c>
      <c r="K498" s="5">
        <v>-0.225417905345684</v>
      </c>
      <c r="L498" s="5">
        <v>-0.225417905345684</v>
      </c>
      <c r="M498" s="5">
        <v>-0.225417905345684</v>
      </c>
      <c r="N498" s="5">
        <v>-10.5426891492619</v>
      </c>
      <c r="O498" s="5">
        <v>-10.5426891492619</v>
      </c>
      <c r="P498" s="5">
        <v>-10.5426891492619</v>
      </c>
      <c r="Q498" s="5">
        <v>0.0</v>
      </c>
      <c r="R498" s="5">
        <v>0.0</v>
      </c>
      <c r="S498" s="5">
        <v>0.0</v>
      </c>
      <c r="T498" s="5">
        <v>220.30136869488</v>
      </c>
    </row>
    <row r="499">
      <c r="A499" s="5">
        <v>497.0</v>
      </c>
      <c r="B499" s="6">
        <v>44302.0</v>
      </c>
      <c r="C499" s="5">
        <v>231.380153669647</v>
      </c>
      <c r="D499" s="5">
        <v>180.939254183252</v>
      </c>
      <c r="E499" s="5">
        <v>261.590289423038</v>
      </c>
      <c r="F499" s="5">
        <v>231.380153669647</v>
      </c>
      <c r="G499" s="5">
        <v>231.380153669647</v>
      </c>
      <c r="H499" s="5">
        <v>-11.7332077018338</v>
      </c>
      <c r="I499" s="5">
        <v>-11.7332077018338</v>
      </c>
      <c r="J499" s="5">
        <v>-11.7332077018338</v>
      </c>
      <c r="K499" s="5">
        <v>-0.739640081283131</v>
      </c>
      <c r="L499" s="5">
        <v>-0.739640081283131</v>
      </c>
      <c r="M499" s="5">
        <v>-0.739640081283131</v>
      </c>
      <c r="N499" s="5">
        <v>-10.9935676205506</v>
      </c>
      <c r="O499" s="5">
        <v>-10.9935676205506</v>
      </c>
      <c r="P499" s="5">
        <v>-10.9935676205506</v>
      </c>
      <c r="Q499" s="5">
        <v>0.0</v>
      </c>
      <c r="R499" s="5">
        <v>0.0</v>
      </c>
      <c r="S499" s="5">
        <v>0.0</v>
      </c>
      <c r="T499" s="5">
        <v>219.646945967813</v>
      </c>
    </row>
    <row r="500">
      <c r="A500" s="5">
        <v>498.0</v>
      </c>
      <c r="B500" s="6">
        <v>44305.0</v>
      </c>
      <c r="C500" s="5">
        <v>232.312187430123</v>
      </c>
      <c r="D500" s="5">
        <v>180.587649293817</v>
      </c>
      <c r="E500" s="5">
        <v>262.356275990702</v>
      </c>
      <c r="F500" s="5">
        <v>232.312187430123</v>
      </c>
      <c r="G500" s="5">
        <v>232.312187430123</v>
      </c>
      <c r="H500" s="5">
        <v>-10.9088875519754</v>
      </c>
      <c r="I500" s="5">
        <v>-10.9088875519754</v>
      </c>
      <c r="J500" s="5">
        <v>-10.9088875519754</v>
      </c>
      <c r="K500" s="5">
        <v>1.16457933345063</v>
      </c>
      <c r="L500" s="5">
        <v>1.16457933345063</v>
      </c>
      <c r="M500" s="5">
        <v>1.16457933345063</v>
      </c>
      <c r="N500" s="5">
        <v>-12.073466885426</v>
      </c>
      <c r="O500" s="5">
        <v>-12.073466885426</v>
      </c>
      <c r="P500" s="5">
        <v>-12.073466885426</v>
      </c>
      <c r="Q500" s="5">
        <v>0.0</v>
      </c>
      <c r="R500" s="5">
        <v>0.0</v>
      </c>
      <c r="S500" s="5">
        <v>0.0</v>
      </c>
      <c r="T500" s="5">
        <v>221.403299878148</v>
      </c>
    </row>
    <row r="501">
      <c r="A501" s="5">
        <v>499.0</v>
      </c>
      <c r="B501" s="6">
        <v>44306.0</v>
      </c>
      <c r="C501" s="5">
        <v>232.622865350282</v>
      </c>
      <c r="D501" s="5">
        <v>180.783542429028</v>
      </c>
      <c r="E501" s="5">
        <v>258.480968308641</v>
      </c>
      <c r="F501" s="5">
        <v>232.622865350282</v>
      </c>
      <c r="G501" s="5">
        <v>232.622865350282</v>
      </c>
      <c r="H501" s="5">
        <v>-12.1051926118707</v>
      </c>
      <c r="I501" s="5">
        <v>-12.1051926118707</v>
      </c>
      <c r="J501" s="5">
        <v>-12.1051926118707</v>
      </c>
      <c r="K501" s="5">
        <v>0.24732477213774</v>
      </c>
      <c r="L501" s="5">
        <v>0.24732477213774</v>
      </c>
      <c r="M501" s="5">
        <v>0.24732477213774</v>
      </c>
      <c r="N501" s="5">
        <v>-12.3525173840084</v>
      </c>
      <c r="O501" s="5">
        <v>-12.3525173840084</v>
      </c>
      <c r="P501" s="5">
        <v>-12.3525173840084</v>
      </c>
      <c r="Q501" s="5">
        <v>0.0</v>
      </c>
      <c r="R501" s="5">
        <v>0.0</v>
      </c>
      <c r="S501" s="5">
        <v>0.0</v>
      </c>
      <c r="T501" s="5">
        <v>220.517672738412</v>
      </c>
    </row>
    <row r="502">
      <c r="A502" s="5">
        <v>500.0</v>
      </c>
      <c r="B502" s="6">
        <v>44307.0</v>
      </c>
      <c r="C502" s="5">
        <v>232.933543270441</v>
      </c>
      <c r="D502" s="5">
        <v>179.254339335981</v>
      </c>
      <c r="E502" s="5">
        <v>261.404120130424</v>
      </c>
      <c r="F502" s="5">
        <v>232.933543270441</v>
      </c>
      <c r="G502" s="5">
        <v>232.933543270441</v>
      </c>
      <c r="H502" s="5">
        <v>-11.9933527220853</v>
      </c>
      <c r="I502" s="5">
        <v>-11.9933527220853</v>
      </c>
      <c r="J502" s="5">
        <v>-11.9933527220853</v>
      </c>
      <c r="K502" s="5">
        <v>0.608132553625435</v>
      </c>
      <c r="L502" s="5">
        <v>0.608132553625435</v>
      </c>
      <c r="M502" s="5">
        <v>0.608132553625435</v>
      </c>
      <c r="N502" s="5">
        <v>-12.6014852757108</v>
      </c>
      <c r="O502" s="5">
        <v>-12.6014852757108</v>
      </c>
      <c r="P502" s="5">
        <v>-12.6014852757108</v>
      </c>
      <c r="Q502" s="5">
        <v>0.0</v>
      </c>
      <c r="R502" s="5">
        <v>0.0</v>
      </c>
      <c r="S502" s="5">
        <v>0.0</v>
      </c>
      <c r="T502" s="5">
        <v>220.940190548356</v>
      </c>
    </row>
    <row r="503">
      <c r="A503" s="5">
        <v>501.0</v>
      </c>
      <c r="B503" s="6">
        <v>44308.0</v>
      </c>
      <c r="C503" s="5">
        <v>233.2442211906</v>
      </c>
      <c r="D503" s="5">
        <v>179.147430059413</v>
      </c>
      <c r="E503" s="5">
        <v>260.894771011682</v>
      </c>
      <c r="F503" s="5">
        <v>233.2442211906</v>
      </c>
      <c r="G503" s="5">
        <v>233.2442211906</v>
      </c>
      <c r="H503" s="5">
        <v>-13.0546417535514</v>
      </c>
      <c r="I503" s="5">
        <v>-13.0546417535514</v>
      </c>
      <c r="J503" s="5">
        <v>-13.0546417535514</v>
      </c>
      <c r="K503" s="5">
        <v>-0.225417905348649</v>
      </c>
      <c r="L503" s="5">
        <v>-0.225417905348649</v>
      </c>
      <c r="M503" s="5">
        <v>-0.225417905348649</v>
      </c>
      <c r="N503" s="5">
        <v>-12.8292238482027</v>
      </c>
      <c r="O503" s="5">
        <v>-12.8292238482027</v>
      </c>
      <c r="P503" s="5">
        <v>-12.8292238482027</v>
      </c>
      <c r="Q503" s="5">
        <v>0.0</v>
      </c>
      <c r="R503" s="5">
        <v>0.0</v>
      </c>
      <c r="S503" s="5">
        <v>0.0</v>
      </c>
      <c r="T503" s="5">
        <v>220.189579437048</v>
      </c>
    </row>
    <row r="504">
      <c r="A504" s="5">
        <v>502.0</v>
      </c>
      <c r="B504" s="6">
        <v>44309.0</v>
      </c>
      <c r="C504" s="5">
        <v>233.554899110759</v>
      </c>
      <c r="D504" s="5">
        <v>181.071462997678</v>
      </c>
      <c r="E504" s="5">
        <v>262.625375875679</v>
      </c>
      <c r="F504" s="5">
        <v>233.554899110759</v>
      </c>
      <c r="G504" s="5">
        <v>233.554899110759</v>
      </c>
      <c r="H504" s="5">
        <v>-13.7854776917593</v>
      </c>
      <c r="I504" s="5">
        <v>-13.7854776917593</v>
      </c>
      <c r="J504" s="5">
        <v>-13.7854776917593</v>
      </c>
      <c r="K504" s="5">
        <v>-0.739640081280854</v>
      </c>
      <c r="L504" s="5">
        <v>-0.739640081280854</v>
      </c>
      <c r="M504" s="5">
        <v>-0.739640081280854</v>
      </c>
      <c r="N504" s="5">
        <v>-13.0458376104785</v>
      </c>
      <c r="O504" s="5">
        <v>-13.0458376104785</v>
      </c>
      <c r="P504" s="5">
        <v>-13.0458376104785</v>
      </c>
      <c r="Q504" s="5">
        <v>0.0</v>
      </c>
      <c r="R504" s="5">
        <v>0.0</v>
      </c>
      <c r="S504" s="5">
        <v>0.0</v>
      </c>
      <c r="T504" s="5">
        <v>219.769421418999</v>
      </c>
    </row>
    <row r="505">
      <c r="A505" s="5">
        <v>503.0</v>
      </c>
      <c r="B505" s="6">
        <v>44312.0</v>
      </c>
      <c r="C505" s="5">
        <v>234.486932871235</v>
      </c>
      <c r="D505" s="5">
        <v>181.817758097829</v>
      </c>
      <c r="E505" s="5">
        <v>264.103879380718</v>
      </c>
      <c r="F505" s="5">
        <v>234.486932871235</v>
      </c>
      <c r="G505" s="5">
        <v>234.486932871235</v>
      </c>
      <c r="H505" s="5">
        <v>-12.5753935415932</v>
      </c>
      <c r="I505" s="5">
        <v>-12.5753935415932</v>
      </c>
      <c r="J505" s="5">
        <v>-12.5753935415932</v>
      </c>
      <c r="K505" s="5">
        <v>1.16457933345107</v>
      </c>
      <c r="L505" s="5">
        <v>1.16457933345107</v>
      </c>
      <c r="M505" s="5">
        <v>1.16457933345107</v>
      </c>
      <c r="N505" s="5">
        <v>-13.7399728750443</v>
      </c>
      <c r="O505" s="5">
        <v>-13.7399728750443</v>
      </c>
      <c r="P505" s="5">
        <v>-13.7399728750443</v>
      </c>
      <c r="Q505" s="5">
        <v>0.0</v>
      </c>
      <c r="R505" s="5">
        <v>0.0</v>
      </c>
      <c r="S505" s="5">
        <v>0.0</v>
      </c>
      <c r="T505" s="5">
        <v>221.911539329642</v>
      </c>
    </row>
    <row r="506">
      <c r="A506" s="5">
        <v>504.0</v>
      </c>
      <c r="B506" s="6">
        <v>44313.0</v>
      </c>
      <c r="C506" s="5">
        <v>234.797610791394</v>
      </c>
      <c r="D506" s="5">
        <v>183.157805856741</v>
      </c>
      <c r="E506" s="5">
        <v>261.336203203548</v>
      </c>
      <c r="F506" s="5">
        <v>234.797610791394</v>
      </c>
      <c r="G506" s="5">
        <v>234.797610791394</v>
      </c>
      <c r="H506" s="5">
        <v>-13.7760732196974</v>
      </c>
      <c r="I506" s="5">
        <v>-13.7760732196974</v>
      </c>
      <c r="J506" s="5">
        <v>-13.7760732196974</v>
      </c>
      <c r="K506" s="5">
        <v>0.247324772139252</v>
      </c>
      <c r="L506" s="5">
        <v>0.247324772139252</v>
      </c>
      <c r="M506" s="5">
        <v>0.247324772139252</v>
      </c>
      <c r="N506" s="5">
        <v>-14.0233979918366</v>
      </c>
      <c r="O506" s="5">
        <v>-14.0233979918366</v>
      </c>
      <c r="P506" s="5">
        <v>-14.0233979918366</v>
      </c>
      <c r="Q506" s="5">
        <v>0.0</v>
      </c>
      <c r="R506" s="5">
        <v>0.0</v>
      </c>
      <c r="S506" s="5">
        <v>0.0</v>
      </c>
      <c r="T506" s="5">
        <v>221.021537571697</v>
      </c>
    </row>
    <row r="507">
      <c r="A507" s="5">
        <v>505.0</v>
      </c>
      <c r="B507" s="6">
        <v>44314.0</v>
      </c>
      <c r="C507" s="5">
        <v>235.108288711553</v>
      </c>
      <c r="D507" s="5">
        <v>181.820301914347</v>
      </c>
      <c r="E507" s="5">
        <v>261.263373595305</v>
      </c>
      <c r="F507" s="5">
        <v>235.108288711553</v>
      </c>
      <c r="G507" s="5">
        <v>235.108288711553</v>
      </c>
      <c r="H507" s="5">
        <v>-13.741968144628</v>
      </c>
      <c r="I507" s="5">
        <v>-13.741968144628</v>
      </c>
      <c r="J507" s="5">
        <v>-13.741968144628</v>
      </c>
      <c r="K507" s="5">
        <v>0.608132553627213</v>
      </c>
      <c r="L507" s="5">
        <v>0.608132553627213</v>
      </c>
      <c r="M507" s="5">
        <v>0.608132553627213</v>
      </c>
      <c r="N507" s="5">
        <v>-14.3501006982552</v>
      </c>
      <c r="O507" s="5">
        <v>-14.3501006982552</v>
      </c>
      <c r="P507" s="5">
        <v>-14.3501006982552</v>
      </c>
      <c r="Q507" s="5">
        <v>0.0</v>
      </c>
      <c r="R507" s="5">
        <v>0.0</v>
      </c>
      <c r="S507" s="5">
        <v>0.0</v>
      </c>
      <c r="T507" s="5">
        <v>221.366320566925</v>
      </c>
    </row>
    <row r="508">
      <c r="A508" s="5">
        <v>506.0</v>
      </c>
      <c r="B508" s="6">
        <v>44315.0</v>
      </c>
      <c r="C508" s="5">
        <v>235.418966631712</v>
      </c>
      <c r="D508" s="5">
        <v>178.789087754092</v>
      </c>
      <c r="E508" s="5">
        <v>262.01517959268</v>
      </c>
      <c r="F508" s="5">
        <v>235.418966631712</v>
      </c>
      <c r="G508" s="5">
        <v>235.418966631712</v>
      </c>
      <c r="H508" s="5">
        <v>-14.9541623295211</v>
      </c>
      <c r="I508" s="5">
        <v>-14.9541623295211</v>
      </c>
      <c r="J508" s="5">
        <v>-14.9541623295211</v>
      </c>
      <c r="K508" s="5">
        <v>-0.225417905346302</v>
      </c>
      <c r="L508" s="5">
        <v>-0.225417905346302</v>
      </c>
      <c r="M508" s="5">
        <v>-0.225417905346302</v>
      </c>
      <c r="N508" s="5">
        <v>-14.7287444241748</v>
      </c>
      <c r="O508" s="5">
        <v>-14.7287444241748</v>
      </c>
      <c r="P508" s="5">
        <v>-14.7287444241748</v>
      </c>
      <c r="Q508" s="5">
        <v>0.0</v>
      </c>
      <c r="R508" s="5">
        <v>0.0</v>
      </c>
      <c r="S508" s="5">
        <v>0.0</v>
      </c>
      <c r="T508" s="5">
        <v>220.46480430219</v>
      </c>
    </row>
    <row r="509">
      <c r="A509" s="5">
        <v>507.0</v>
      </c>
      <c r="B509" s="6">
        <v>44316.0</v>
      </c>
      <c r="C509" s="5">
        <v>235.72964455187</v>
      </c>
      <c r="D509" s="5">
        <v>179.894674505687</v>
      </c>
      <c r="E509" s="5">
        <v>260.304397660387</v>
      </c>
      <c r="F509" s="5">
        <v>235.72964455187</v>
      </c>
      <c r="G509" s="5">
        <v>235.72964455187</v>
      </c>
      <c r="H509" s="5">
        <v>-15.9060021138832</v>
      </c>
      <c r="I509" s="5">
        <v>-15.9060021138832</v>
      </c>
      <c r="J509" s="5">
        <v>-15.9060021138832</v>
      </c>
      <c r="K509" s="5">
        <v>-0.739640081278577</v>
      </c>
      <c r="L509" s="5">
        <v>-0.739640081278577</v>
      </c>
      <c r="M509" s="5">
        <v>-0.739640081278577</v>
      </c>
      <c r="N509" s="5">
        <v>-15.1663620326046</v>
      </c>
      <c r="O509" s="5">
        <v>-15.1663620326046</v>
      </c>
      <c r="P509" s="5">
        <v>-15.1663620326046</v>
      </c>
      <c r="Q509" s="5">
        <v>0.0</v>
      </c>
      <c r="R509" s="5">
        <v>0.0</v>
      </c>
      <c r="S509" s="5">
        <v>0.0</v>
      </c>
      <c r="T509" s="5">
        <v>219.823642437987</v>
      </c>
    </row>
    <row r="510">
      <c r="A510" s="5">
        <v>508.0</v>
      </c>
      <c r="B510" s="6">
        <v>44319.0</v>
      </c>
      <c r="C510" s="5">
        <v>236.661678312347</v>
      </c>
      <c r="D510" s="5">
        <v>178.693473986288</v>
      </c>
      <c r="E510" s="5">
        <v>263.08224727558</v>
      </c>
      <c r="F510" s="5">
        <v>236.661678312347</v>
      </c>
      <c r="G510" s="5">
        <v>236.661678312347</v>
      </c>
      <c r="H510" s="5">
        <v>-15.7086196940682</v>
      </c>
      <c r="I510" s="5">
        <v>-15.7086196940682</v>
      </c>
      <c r="J510" s="5">
        <v>-15.7086196940682</v>
      </c>
      <c r="K510" s="5">
        <v>1.1645793334513</v>
      </c>
      <c r="L510" s="5">
        <v>1.1645793334513</v>
      </c>
      <c r="M510" s="5">
        <v>1.1645793334513</v>
      </c>
      <c r="N510" s="5">
        <v>-16.8731990275195</v>
      </c>
      <c r="O510" s="5">
        <v>-16.8731990275195</v>
      </c>
      <c r="P510" s="5">
        <v>-16.8731990275195</v>
      </c>
      <c r="Q510" s="5">
        <v>0.0</v>
      </c>
      <c r="R510" s="5">
        <v>0.0</v>
      </c>
      <c r="S510" s="5">
        <v>0.0</v>
      </c>
      <c r="T510" s="5">
        <v>220.953058618279</v>
      </c>
    </row>
    <row r="511">
      <c r="A511" s="5">
        <v>509.0</v>
      </c>
      <c r="B511" s="6">
        <v>44320.0</v>
      </c>
      <c r="C511" s="5">
        <v>236.972356232506</v>
      </c>
      <c r="D511" s="5">
        <v>177.664240869112</v>
      </c>
      <c r="E511" s="5">
        <v>258.411074288999</v>
      </c>
      <c r="F511" s="5">
        <v>236.972356232506</v>
      </c>
      <c r="G511" s="5">
        <v>236.972356232506</v>
      </c>
      <c r="H511" s="5">
        <v>-17.3281650195441</v>
      </c>
      <c r="I511" s="5">
        <v>-17.3281650195441</v>
      </c>
      <c r="J511" s="5">
        <v>-17.3281650195441</v>
      </c>
      <c r="K511" s="5">
        <v>0.247324772137917</v>
      </c>
      <c r="L511" s="5">
        <v>0.247324772137917</v>
      </c>
      <c r="M511" s="5">
        <v>0.247324772137917</v>
      </c>
      <c r="N511" s="5">
        <v>-17.5754897916821</v>
      </c>
      <c r="O511" s="5">
        <v>-17.5754897916821</v>
      </c>
      <c r="P511" s="5">
        <v>-17.5754897916821</v>
      </c>
      <c r="Q511" s="5">
        <v>0.0</v>
      </c>
      <c r="R511" s="5">
        <v>0.0</v>
      </c>
      <c r="S511" s="5">
        <v>0.0</v>
      </c>
      <c r="T511" s="5">
        <v>219.644191212961</v>
      </c>
    </row>
    <row r="512">
      <c r="A512" s="5">
        <v>510.0</v>
      </c>
      <c r="B512" s="6">
        <v>44321.0</v>
      </c>
      <c r="C512" s="5">
        <v>237.283034152665</v>
      </c>
      <c r="D512" s="5">
        <v>180.518055967654</v>
      </c>
      <c r="E512" s="5">
        <v>257.807720856366</v>
      </c>
      <c r="F512" s="5">
        <v>237.283034152665</v>
      </c>
      <c r="G512" s="5">
        <v>237.283034152665</v>
      </c>
      <c r="H512" s="5">
        <v>-17.7313323379068</v>
      </c>
      <c r="I512" s="5">
        <v>-17.7313323379068</v>
      </c>
      <c r="J512" s="5">
        <v>-17.7313323379068</v>
      </c>
      <c r="K512" s="5">
        <v>0.608132553625209</v>
      </c>
      <c r="L512" s="5">
        <v>0.608132553625209</v>
      </c>
      <c r="M512" s="5">
        <v>0.608132553625209</v>
      </c>
      <c r="N512" s="5">
        <v>-18.339464891532</v>
      </c>
      <c r="O512" s="5">
        <v>-18.339464891532</v>
      </c>
      <c r="P512" s="5">
        <v>-18.339464891532</v>
      </c>
      <c r="Q512" s="5">
        <v>0.0</v>
      </c>
      <c r="R512" s="5">
        <v>0.0</v>
      </c>
      <c r="S512" s="5">
        <v>0.0</v>
      </c>
      <c r="T512" s="5">
        <v>219.551701814758</v>
      </c>
    </row>
    <row r="513">
      <c r="A513" s="5">
        <v>511.0</v>
      </c>
      <c r="B513" s="6">
        <v>44322.0</v>
      </c>
      <c r="C513" s="5">
        <v>237.593712072823</v>
      </c>
      <c r="D513" s="5">
        <v>176.739172517291</v>
      </c>
      <c r="E513" s="5">
        <v>257.392099150647</v>
      </c>
      <c r="F513" s="5">
        <v>237.593712072823</v>
      </c>
      <c r="G513" s="5">
        <v>237.593712072823</v>
      </c>
      <c r="H513" s="5">
        <v>-19.3839718475051</v>
      </c>
      <c r="I513" s="5">
        <v>-19.3839718475051</v>
      </c>
      <c r="J513" s="5">
        <v>-19.3839718475051</v>
      </c>
      <c r="K513" s="5">
        <v>-0.225417905349267</v>
      </c>
      <c r="L513" s="5">
        <v>-0.225417905349267</v>
      </c>
      <c r="M513" s="5">
        <v>-0.225417905349267</v>
      </c>
      <c r="N513" s="5">
        <v>-19.1585539421559</v>
      </c>
      <c r="O513" s="5">
        <v>-19.1585539421559</v>
      </c>
      <c r="P513" s="5">
        <v>-19.1585539421559</v>
      </c>
      <c r="Q513" s="5">
        <v>0.0</v>
      </c>
      <c r="R513" s="5">
        <v>0.0</v>
      </c>
      <c r="S513" s="5">
        <v>0.0</v>
      </c>
      <c r="T513" s="5">
        <v>218.209740225318</v>
      </c>
    </row>
    <row r="514">
      <c r="A514" s="5">
        <v>512.0</v>
      </c>
      <c r="B514" s="6">
        <v>44323.0</v>
      </c>
      <c r="C514" s="5">
        <v>237.904389992982</v>
      </c>
      <c r="D514" s="5">
        <v>175.440961774795</v>
      </c>
      <c r="E514" s="5">
        <v>254.494405160259</v>
      </c>
      <c r="F514" s="5">
        <v>237.904389992982</v>
      </c>
      <c r="G514" s="5">
        <v>237.904389992982</v>
      </c>
      <c r="H514" s="5">
        <v>-20.7635940729337</v>
      </c>
      <c r="I514" s="5">
        <v>-20.7635940729337</v>
      </c>
      <c r="J514" s="5">
        <v>-20.7635940729337</v>
      </c>
      <c r="K514" s="5">
        <v>-0.739640081283165</v>
      </c>
      <c r="L514" s="5">
        <v>-0.739640081283165</v>
      </c>
      <c r="M514" s="5">
        <v>-0.739640081283165</v>
      </c>
      <c r="N514" s="5">
        <v>-20.0239539916505</v>
      </c>
      <c r="O514" s="5">
        <v>-20.0239539916505</v>
      </c>
      <c r="P514" s="5">
        <v>-20.0239539916505</v>
      </c>
      <c r="Q514" s="5">
        <v>0.0</v>
      </c>
      <c r="R514" s="5">
        <v>0.0</v>
      </c>
      <c r="S514" s="5">
        <v>0.0</v>
      </c>
      <c r="T514" s="5">
        <v>217.140795920048</v>
      </c>
    </row>
    <row r="515">
      <c r="A515" s="5">
        <v>513.0</v>
      </c>
      <c r="B515" s="6">
        <v>44326.0</v>
      </c>
      <c r="C515" s="5">
        <v>238.836423753459</v>
      </c>
      <c r="D515" s="5">
        <v>176.108817150835</v>
      </c>
      <c r="E515" s="5">
        <v>259.045632137263</v>
      </c>
      <c r="F515" s="5">
        <v>238.836423753459</v>
      </c>
      <c r="G515" s="5">
        <v>238.836423753459</v>
      </c>
      <c r="H515" s="5">
        <v>-21.6166036080594</v>
      </c>
      <c r="I515" s="5">
        <v>-21.6166036080594</v>
      </c>
      <c r="J515" s="5">
        <v>-21.6166036080594</v>
      </c>
      <c r="K515" s="5">
        <v>1.16457933344992</v>
      </c>
      <c r="L515" s="5">
        <v>1.16457933344992</v>
      </c>
      <c r="M515" s="5">
        <v>1.16457933344992</v>
      </c>
      <c r="N515" s="5">
        <v>-22.7811829415094</v>
      </c>
      <c r="O515" s="5">
        <v>-22.7811829415094</v>
      </c>
      <c r="P515" s="5">
        <v>-22.7811829415094</v>
      </c>
      <c r="Q515" s="5">
        <v>0.0</v>
      </c>
      <c r="R515" s="5">
        <v>0.0</v>
      </c>
      <c r="S515" s="5">
        <v>0.0</v>
      </c>
      <c r="T515" s="5">
        <v>217.219820145399</v>
      </c>
    </row>
    <row r="516">
      <c r="A516" s="5">
        <v>514.0</v>
      </c>
      <c r="B516" s="6">
        <v>44327.0</v>
      </c>
      <c r="C516" s="5">
        <v>239.147101673617</v>
      </c>
      <c r="D516" s="5">
        <v>177.270236950104</v>
      </c>
      <c r="E516" s="5">
        <v>256.648972037437</v>
      </c>
      <c r="F516" s="5">
        <v>239.147101673617</v>
      </c>
      <c r="G516" s="5">
        <v>239.147101673617</v>
      </c>
      <c r="H516" s="5">
        <v>-23.4601626587559</v>
      </c>
      <c r="I516" s="5">
        <v>-23.4601626587559</v>
      </c>
      <c r="J516" s="5">
        <v>-23.4601626587559</v>
      </c>
      <c r="K516" s="5">
        <v>0.247324772136582</v>
      </c>
      <c r="L516" s="5">
        <v>0.247324772136582</v>
      </c>
      <c r="M516" s="5">
        <v>0.247324772136582</v>
      </c>
      <c r="N516" s="5">
        <v>-23.7074874308925</v>
      </c>
      <c r="O516" s="5">
        <v>-23.7074874308925</v>
      </c>
      <c r="P516" s="5">
        <v>-23.7074874308925</v>
      </c>
      <c r="Q516" s="5">
        <v>0.0</v>
      </c>
      <c r="R516" s="5">
        <v>0.0</v>
      </c>
      <c r="S516" s="5">
        <v>0.0</v>
      </c>
      <c r="T516" s="5">
        <v>215.686939014861</v>
      </c>
    </row>
    <row r="517">
      <c r="A517" s="5">
        <v>515.0</v>
      </c>
      <c r="B517" s="6">
        <v>44328.0</v>
      </c>
      <c r="C517" s="5">
        <v>239.457779593776</v>
      </c>
      <c r="D517" s="5">
        <v>174.908033183512</v>
      </c>
      <c r="E517" s="5">
        <v>255.941625467745</v>
      </c>
      <c r="F517" s="5">
        <v>239.457779593776</v>
      </c>
      <c r="G517" s="5">
        <v>239.457779593776</v>
      </c>
      <c r="H517" s="5">
        <v>-24.0035627373091</v>
      </c>
      <c r="I517" s="5">
        <v>-24.0035627373091</v>
      </c>
      <c r="J517" s="5">
        <v>-24.0035627373091</v>
      </c>
      <c r="K517" s="5">
        <v>0.608132553626988</v>
      </c>
      <c r="L517" s="5">
        <v>0.608132553626988</v>
      </c>
      <c r="M517" s="5">
        <v>0.608132553626988</v>
      </c>
      <c r="N517" s="5">
        <v>-24.611695290936</v>
      </c>
      <c r="O517" s="5">
        <v>-24.611695290936</v>
      </c>
      <c r="P517" s="5">
        <v>-24.611695290936</v>
      </c>
      <c r="Q517" s="5">
        <v>0.0</v>
      </c>
      <c r="R517" s="5">
        <v>0.0</v>
      </c>
      <c r="S517" s="5">
        <v>0.0</v>
      </c>
      <c r="T517" s="5">
        <v>215.454216856467</v>
      </c>
    </row>
    <row r="518">
      <c r="A518" s="5">
        <v>516.0</v>
      </c>
      <c r="B518" s="6">
        <v>44329.0</v>
      </c>
      <c r="C518" s="5">
        <v>239.768457513935</v>
      </c>
      <c r="D518" s="5">
        <v>175.088497843708</v>
      </c>
      <c r="E518" s="5">
        <v>255.093473917422</v>
      </c>
      <c r="F518" s="5">
        <v>239.768457513935</v>
      </c>
      <c r="G518" s="5">
        <v>239.768457513935</v>
      </c>
      <c r="H518" s="5">
        <v>-25.7031542727759</v>
      </c>
      <c r="I518" s="5">
        <v>-25.7031542727759</v>
      </c>
      <c r="J518" s="5">
        <v>-25.7031542727759</v>
      </c>
      <c r="K518" s="5">
        <v>-0.225417905348846</v>
      </c>
      <c r="L518" s="5">
        <v>-0.225417905348846</v>
      </c>
      <c r="M518" s="5">
        <v>-0.225417905348846</v>
      </c>
      <c r="N518" s="5">
        <v>-25.477736367427</v>
      </c>
      <c r="O518" s="5">
        <v>-25.477736367427</v>
      </c>
      <c r="P518" s="5">
        <v>-25.477736367427</v>
      </c>
      <c r="Q518" s="5">
        <v>0.0</v>
      </c>
      <c r="R518" s="5">
        <v>0.0</v>
      </c>
      <c r="S518" s="5">
        <v>0.0</v>
      </c>
      <c r="T518" s="5">
        <v>214.065303241159</v>
      </c>
    </row>
    <row r="519">
      <c r="A519" s="5">
        <v>517.0</v>
      </c>
      <c r="B519" s="6">
        <v>44330.0</v>
      </c>
      <c r="C519" s="5">
        <v>240.079135434094</v>
      </c>
      <c r="D519" s="5">
        <v>171.696882890815</v>
      </c>
      <c r="E519" s="5">
        <v>252.632866000482</v>
      </c>
      <c r="F519" s="5">
        <v>240.079135434094</v>
      </c>
      <c r="G519" s="5">
        <v>240.079135434094</v>
      </c>
      <c r="H519" s="5">
        <v>-27.0293479920141</v>
      </c>
      <c r="I519" s="5">
        <v>-27.0293479920141</v>
      </c>
      <c r="J519" s="5">
        <v>-27.0293479920141</v>
      </c>
      <c r="K519" s="5">
        <v>-0.739640081280889</v>
      </c>
      <c r="L519" s="5">
        <v>-0.739640081280889</v>
      </c>
      <c r="M519" s="5">
        <v>-0.739640081280889</v>
      </c>
      <c r="N519" s="5">
        <v>-26.2897079107332</v>
      </c>
      <c r="O519" s="5">
        <v>-26.2897079107332</v>
      </c>
      <c r="P519" s="5">
        <v>-26.2897079107332</v>
      </c>
      <c r="Q519" s="5">
        <v>0.0</v>
      </c>
      <c r="R519" s="5">
        <v>0.0</v>
      </c>
      <c r="S519" s="5">
        <v>0.0</v>
      </c>
      <c r="T519" s="5">
        <v>213.04978744208</v>
      </c>
    </row>
    <row r="520">
      <c r="A520" s="5">
        <v>518.0</v>
      </c>
      <c r="B520" s="6">
        <v>44333.0</v>
      </c>
      <c r="C520" s="5">
        <v>241.01116919457</v>
      </c>
      <c r="D520" s="5">
        <v>175.502652622983</v>
      </c>
      <c r="E520" s="5">
        <v>252.653590383857</v>
      </c>
      <c r="F520" s="5">
        <v>241.01116919457</v>
      </c>
      <c r="G520" s="5">
        <v>241.01116919457</v>
      </c>
      <c r="H520" s="5">
        <v>-27.0889535992096</v>
      </c>
      <c r="I520" s="5">
        <v>-27.0889535992096</v>
      </c>
      <c r="J520" s="5">
        <v>-27.0889535992096</v>
      </c>
      <c r="K520" s="5">
        <v>1.16457933345015</v>
      </c>
      <c r="L520" s="5">
        <v>1.16457933345015</v>
      </c>
      <c r="M520" s="5">
        <v>1.16457933345015</v>
      </c>
      <c r="N520" s="5">
        <v>-28.2535329326598</v>
      </c>
      <c r="O520" s="5">
        <v>-28.2535329326598</v>
      </c>
      <c r="P520" s="5">
        <v>-28.2535329326598</v>
      </c>
      <c r="Q520" s="5">
        <v>0.0</v>
      </c>
      <c r="R520" s="5">
        <v>0.0</v>
      </c>
      <c r="S520" s="5">
        <v>0.0</v>
      </c>
      <c r="T520" s="5">
        <v>213.922215595361</v>
      </c>
    </row>
    <row r="521">
      <c r="A521" s="5">
        <v>519.0</v>
      </c>
      <c r="B521" s="6">
        <v>44334.0</v>
      </c>
      <c r="C521" s="5">
        <v>241.321847114729</v>
      </c>
      <c r="D521" s="5">
        <v>170.569293759097</v>
      </c>
      <c r="E521" s="5">
        <v>255.336793634873</v>
      </c>
      <c r="F521" s="5">
        <v>241.321847114729</v>
      </c>
      <c r="G521" s="5">
        <v>241.321847114729</v>
      </c>
      <c r="H521" s="5">
        <v>-28.4607553529019</v>
      </c>
      <c r="I521" s="5">
        <v>-28.4607553529019</v>
      </c>
      <c r="J521" s="5">
        <v>-28.4607553529019</v>
      </c>
      <c r="K521" s="5">
        <v>0.247324772138094</v>
      </c>
      <c r="L521" s="5">
        <v>0.247324772138094</v>
      </c>
      <c r="M521" s="5">
        <v>0.247324772138094</v>
      </c>
      <c r="N521" s="5">
        <v>-28.70808012504</v>
      </c>
      <c r="O521" s="5">
        <v>-28.70808012504</v>
      </c>
      <c r="P521" s="5">
        <v>-28.70808012504</v>
      </c>
      <c r="Q521" s="5">
        <v>0.0</v>
      </c>
      <c r="R521" s="5">
        <v>0.0</v>
      </c>
      <c r="S521" s="5">
        <v>0.0</v>
      </c>
      <c r="T521" s="5">
        <v>212.861091761827</v>
      </c>
    </row>
    <row r="522">
      <c r="A522" s="5">
        <v>520.0</v>
      </c>
      <c r="B522" s="6">
        <v>44335.0</v>
      </c>
      <c r="C522" s="5">
        <v>241.632525034888</v>
      </c>
      <c r="D522" s="5">
        <v>171.358598083404</v>
      </c>
      <c r="E522" s="5">
        <v>253.922676860829</v>
      </c>
      <c r="F522" s="5">
        <v>241.632525034888</v>
      </c>
      <c r="G522" s="5">
        <v>241.632525034888</v>
      </c>
      <c r="H522" s="5">
        <v>-28.4375784860667</v>
      </c>
      <c r="I522" s="5">
        <v>-28.4375784860667</v>
      </c>
      <c r="J522" s="5">
        <v>-28.4375784860667</v>
      </c>
      <c r="K522" s="5">
        <v>0.60813255362343</v>
      </c>
      <c r="L522" s="5">
        <v>0.60813255362343</v>
      </c>
      <c r="M522" s="5">
        <v>0.60813255362343</v>
      </c>
      <c r="N522" s="5">
        <v>-29.0457110396901</v>
      </c>
      <c r="O522" s="5">
        <v>-29.0457110396901</v>
      </c>
      <c r="P522" s="5">
        <v>-29.0457110396901</v>
      </c>
      <c r="Q522" s="5">
        <v>0.0</v>
      </c>
      <c r="R522" s="5">
        <v>0.0</v>
      </c>
      <c r="S522" s="5">
        <v>0.0</v>
      </c>
      <c r="T522" s="5">
        <v>213.194946548821</v>
      </c>
    </row>
    <row r="523">
      <c r="A523" s="5">
        <v>521.0</v>
      </c>
      <c r="B523" s="6">
        <v>44336.0</v>
      </c>
      <c r="C523" s="5">
        <v>241.943202955047</v>
      </c>
      <c r="D523" s="5">
        <v>174.772612446606</v>
      </c>
      <c r="E523" s="5">
        <v>248.856416768885</v>
      </c>
      <c r="F523" s="5">
        <v>241.943202955047</v>
      </c>
      <c r="G523" s="5">
        <v>241.943202955047</v>
      </c>
      <c r="H523" s="5">
        <v>-29.4849730254683</v>
      </c>
      <c r="I523" s="5">
        <v>-29.4849730254683</v>
      </c>
      <c r="J523" s="5">
        <v>-29.4849730254683</v>
      </c>
      <c r="K523" s="5">
        <v>-0.225417905348425</v>
      </c>
      <c r="L523" s="5">
        <v>-0.225417905348425</v>
      </c>
      <c r="M523" s="5">
        <v>-0.225417905348425</v>
      </c>
      <c r="N523" s="5">
        <v>-29.2595551201199</v>
      </c>
      <c r="O523" s="5">
        <v>-29.2595551201199</v>
      </c>
      <c r="P523" s="5">
        <v>-29.2595551201199</v>
      </c>
      <c r="Q523" s="5">
        <v>0.0</v>
      </c>
      <c r="R523" s="5">
        <v>0.0</v>
      </c>
      <c r="S523" s="5">
        <v>0.0</v>
      </c>
      <c r="T523" s="5">
        <v>212.458229929578</v>
      </c>
    </row>
    <row r="524">
      <c r="A524" s="5">
        <v>522.0</v>
      </c>
      <c r="B524" s="6">
        <v>44337.0</v>
      </c>
      <c r="C524" s="5">
        <v>242.253880875206</v>
      </c>
      <c r="D524" s="5">
        <v>172.097363400325</v>
      </c>
      <c r="E524" s="5">
        <v>251.396836170507</v>
      </c>
      <c r="F524" s="5">
        <v>242.253880875206</v>
      </c>
      <c r="G524" s="5">
        <v>242.253880875206</v>
      </c>
      <c r="H524" s="5">
        <v>-30.0848341276241</v>
      </c>
      <c r="I524" s="5">
        <v>-30.0848341276241</v>
      </c>
      <c r="J524" s="5">
        <v>-30.0848341276241</v>
      </c>
      <c r="K524" s="5">
        <v>-0.739640081279983</v>
      </c>
      <c r="L524" s="5">
        <v>-0.739640081279983</v>
      </c>
      <c r="M524" s="5">
        <v>-0.739640081279983</v>
      </c>
      <c r="N524" s="5">
        <v>-29.3451940463442</v>
      </c>
      <c r="O524" s="5">
        <v>-29.3451940463442</v>
      </c>
      <c r="P524" s="5">
        <v>-29.3451940463442</v>
      </c>
      <c r="Q524" s="5">
        <v>0.0</v>
      </c>
      <c r="R524" s="5">
        <v>0.0</v>
      </c>
      <c r="S524" s="5">
        <v>0.0</v>
      </c>
      <c r="T524" s="5">
        <v>212.169046747581</v>
      </c>
    </row>
    <row r="525">
      <c r="A525" s="5">
        <v>523.0</v>
      </c>
      <c r="B525" s="6">
        <v>44340.0</v>
      </c>
      <c r="C525" s="5">
        <v>243.185914635682</v>
      </c>
      <c r="D525" s="5">
        <v>174.087318849662</v>
      </c>
      <c r="E525" s="5">
        <v>256.066755139916</v>
      </c>
      <c r="F525" s="5">
        <v>243.185914635682</v>
      </c>
      <c r="G525" s="5">
        <v>243.185914635682</v>
      </c>
      <c r="H525" s="5">
        <v>-27.6627253300134</v>
      </c>
      <c r="I525" s="5">
        <v>-27.6627253300134</v>
      </c>
      <c r="J525" s="5">
        <v>-27.6627253300134</v>
      </c>
      <c r="K525" s="5">
        <v>1.16457933345049</v>
      </c>
      <c r="L525" s="5">
        <v>1.16457933345049</v>
      </c>
      <c r="M525" s="5">
        <v>1.16457933345049</v>
      </c>
      <c r="N525" s="5">
        <v>-28.8273046634639</v>
      </c>
      <c r="O525" s="5">
        <v>-28.8273046634639</v>
      </c>
      <c r="P525" s="5">
        <v>-28.8273046634639</v>
      </c>
      <c r="Q525" s="5">
        <v>0.0</v>
      </c>
      <c r="R525" s="5">
        <v>0.0</v>
      </c>
      <c r="S525" s="5">
        <v>0.0</v>
      </c>
      <c r="T525" s="5">
        <v>215.523189305669</v>
      </c>
    </row>
    <row r="526">
      <c r="A526" s="5">
        <v>524.0</v>
      </c>
      <c r="B526" s="6">
        <v>44341.0</v>
      </c>
      <c r="C526" s="5">
        <v>243.496592555841</v>
      </c>
      <c r="D526" s="5">
        <v>176.792160319426</v>
      </c>
      <c r="E526" s="5">
        <v>256.412679209001</v>
      </c>
      <c r="F526" s="5">
        <v>243.496592555841</v>
      </c>
      <c r="G526" s="5">
        <v>243.496592555841</v>
      </c>
      <c r="H526" s="5">
        <v>-28.1600418905602</v>
      </c>
      <c r="I526" s="5">
        <v>-28.1600418905602</v>
      </c>
      <c r="J526" s="5">
        <v>-28.1600418905602</v>
      </c>
      <c r="K526" s="5">
        <v>0.247324772136759</v>
      </c>
      <c r="L526" s="5">
        <v>0.247324772136759</v>
      </c>
      <c r="M526" s="5">
        <v>0.247324772136759</v>
      </c>
      <c r="N526" s="5">
        <v>-28.407366662697</v>
      </c>
      <c r="O526" s="5">
        <v>-28.407366662697</v>
      </c>
      <c r="P526" s="5">
        <v>-28.407366662697</v>
      </c>
      <c r="Q526" s="5">
        <v>0.0</v>
      </c>
      <c r="R526" s="5">
        <v>0.0</v>
      </c>
      <c r="S526" s="5">
        <v>0.0</v>
      </c>
      <c r="T526" s="5">
        <v>215.336550665281</v>
      </c>
    </row>
    <row r="527">
      <c r="A527" s="5">
        <v>525.0</v>
      </c>
      <c r="B527" s="6">
        <v>44342.0</v>
      </c>
      <c r="C527" s="5">
        <v>243.807270486765</v>
      </c>
      <c r="D527" s="5">
        <v>174.922005861688</v>
      </c>
      <c r="E527" s="5">
        <v>258.396360684634</v>
      </c>
      <c r="F527" s="5">
        <v>243.807270486765</v>
      </c>
      <c r="G527" s="5">
        <v>243.807270486765</v>
      </c>
      <c r="H527" s="5">
        <v>-27.2671827477281</v>
      </c>
      <c r="I527" s="5">
        <v>-27.2671827477281</v>
      </c>
      <c r="J527" s="5">
        <v>-27.2671827477281</v>
      </c>
      <c r="K527" s="5">
        <v>0.608132553626763</v>
      </c>
      <c r="L527" s="5">
        <v>0.608132553626763</v>
      </c>
      <c r="M527" s="5">
        <v>0.608132553626763</v>
      </c>
      <c r="N527" s="5">
        <v>-27.8753153013549</v>
      </c>
      <c r="O527" s="5">
        <v>-27.8753153013549</v>
      </c>
      <c r="P527" s="5">
        <v>-27.8753153013549</v>
      </c>
      <c r="Q527" s="5">
        <v>0.0</v>
      </c>
      <c r="R527" s="5">
        <v>0.0</v>
      </c>
      <c r="S527" s="5">
        <v>0.0</v>
      </c>
      <c r="T527" s="5">
        <v>216.540087739037</v>
      </c>
    </row>
    <row r="528">
      <c r="A528" s="5">
        <v>526.0</v>
      </c>
      <c r="B528" s="6">
        <v>44343.0</v>
      </c>
      <c r="C528" s="5">
        <v>244.11794841769</v>
      </c>
      <c r="D528" s="5">
        <v>178.476070207719</v>
      </c>
      <c r="E528" s="5">
        <v>253.858407159642</v>
      </c>
      <c r="F528" s="5">
        <v>244.11794841769</v>
      </c>
      <c r="G528" s="5">
        <v>244.11794841769</v>
      </c>
      <c r="H528" s="5">
        <v>-27.4667378466021</v>
      </c>
      <c r="I528" s="5">
        <v>-27.4667378466021</v>
      </c>
      <c r="J528" s="5">
        <v>-27.4667378466021</v>
      </c>
      <c r="K528" s="5">
        <v>-0.225417905348004</v>
      </c>
      <c r="L528" s="5">
        <v>-0.225417905348004</v>
      </c>
      <c r="M528" s="5">
        <v>-0.225417905348004</v>
      </c>
      <c r="N528" s="5">
        <v>-27.2413199412541</v>
      </c>
      <c r="O528" s="5">
        <v>-27.2413199412541</v>
      </c>
      <c r="P528" s="5">
        <v>-27.2413199412541</v>
      </c>
      <c r="Q528" s="5">
        <v>0.0</v>
      </c>
      <c r="R528" s="5">
        <v>0.0</v>
      </c>
      <c r="S528" s="5">
        <v>0.0</v>
      </c>
      <c r="T528" s="5">
        <v>216.651210571087</v>
      </c>
    </row>
    <row r="529">
      <c r="A529" s="5">
        <v>527.0</v>
      </c>
      <c r="B529" s="6">
        <v>44344.0</v>
      </c>
      <c r="C529" s="5">
        <v>244.428626348614</v>
      </c>
      <c r="D529" s="5">
        <v>177.477856352889</v>
      </c>
      <c r="E529" s="5">
        <v>259.141404122381</v>
      </c>
      <c r="F529" s="5">
        <v>244.428626348614</v>
      </c>
      <c r="G529" s="5">
        <v>244.428626348614</v>
      </c>
      <c r="H529" s="5">
        <v>-27.2569847974015</v>
      </c>
      <c r="I529" s="5">
        <v>-27.2569847974015</v>
      </c>
      <c r="J529" s="5">
        <v>-27.2569847974015</v>
      </c>
      <c r="K529" s="5">
        <v>-0.739640081277706</v>
      </c>
      <c r="L529" s="5">
        <v>-0.739640081277706</v>
      </c>
      <c r="M529" s="5">
        <v>-0.739640081277706</v>
      </c>
      <c r="N529" s="5">
        <v>-26.5173447161238</v>
      </c>
      <c r="O529" s="5">
        <v>-26.5173447161238</v>
      </c>
      <c r="P529" s="5">
        <v>-26.5173447161238</v>
      </c>
      <c r="Q529" s="5">
        <v>0.0</v>
      </c>
      <c r="R529" s="5">
        <v>0.0</v>
      </c>
      <c r="S529" s="5">
        <v>0.0</v>
      </c>
      <c r="T529" s="5">
        <v>217.171641551212</v>
      </c>
    </row>
    <row r="530">
      <c r="A530" s="5">
        <v>528.0</v>
      </c>
      <c r="B530" s="6">
        <v>44348.0</v>
      </c>
      <c r="C530" s="5">
        <v>245.671338072312</v>
      </c>
      <c r="D530" s="5">
        <v>183.166938604412</v>
      </c>
      <c r="E530" s="5">
        <v>264.600214527563</v>
      </c>
      <c r="F530" s="5">
        <v>245.671338072312</v>
      </c>
      <c r="G530" s="5">
        <v>245.671338072312</v>
      </c>
      <c r="H530" s="5">
        <v>-22.7572111390779</v>
      </c>
      <c r="I530" s="5">
        <v>-22.7572111390779</v>
      </c>
      <c r="J530" s="5">
        <v>-22.7572111390779</v>
      </c>
      <c r="K530" s="5">
        <v>0.247324772139568</v>
      </c>
      <c r="L530" s="5">
        <v>0.247324772139568</v>
      </c>
      <c r="M530" s="5">
        <v>0.247324772139568</v>
      </c>
      <c r="N530" s="5">
        <v>-23.0045359112175</v>
      </c>
      <c r="O530" s="5">
        <v>-23.0045359112175</v>
      </c>
      <c r="P530" s="5">
        <v>-23.0045359112175</v>
      </c>
      <c r="Q530" s="5">
        <v>0.0</v>
      </c>
      <c r="R530" s="5">
        <v>0.0</v>
      </c>
      <c r="S530" s="5">
        <v>0.0</v>
      </c>
      <c r="T530" s="5">
        <v>222.914126933234</v>
      </c>
    </row>
    <row r="531">
      <c r="A531" s="5">
        <v>529.0</v>
      </c>
      <c r="B531" s="6">
        <v>44349.0</v>
      </c>
      <c r="C531" s="5">
        <v>245.982016003236</v>
      </c>
      <c r="D531" s="5">
        <v>183.958354941122</v>
      </c>
      <c r="E531" s="5">
        <v>266.668658625361</v>
      </c>
      <c r="F531" s="5">
        <v>245.982016003236</v>
      </c>
      <c r="G531" s="5">
        <v>245.982016003236</v>
      </c>
      <c r="H531" s="5">
        <v>-21.44024545406</v>
      </c>
      <c r="I531" s="5">
        <v>-21.44024545406</v>
      </c>
      <c r="J531" s="5">
        <v>-21.44024545406</v>
      </c>
      <c r="K531" s="5">
        <v>0.608132553625874</v>
      </c>
      <c r="L531" s="5">
        <v>0.608132553625874</v>
      </c>
      <c r="M531" s="5">
        <v>0.608132553625874</v>
      </c>
      <c r="N531" s="5">
        <v>-22.0483780076859</v>
      </c>
      <c r="O531" s="5">
        <v>-22.0483780076859</v>
      </c>
      <c r="P531" s="5">
        <v>-22.0483780076859</v>
      </c>
      <c r="Q531" s="5">
        <v>0.0</v>
      </c>
      <c r="R531" s="5">
        <v>0.0</v>
      </c>
      <c r="S531" s="5">
        <v>0.0</v>
      </c>
      <c r="T531" s="5">
        <v>224.541770549176</v>
      </c>
    </row>
    <row r="532">
      <c r="A532" s="5">
        <v>530.0</v>
      </c>
      <c r="B532" s="6">
        <v>44350.0</v>
      </c>
      <c r="C532" s="5">
        <v>246.29269393416</v>
      </c>
      <c r="D532" s="5">
        <v>186.937451031235</v>
      </c>
      <c r="E532" s="5">
        <v>265.094598100026</v>
      </c>
      <c r="F532" s="5">
        <v>246.29269393416</v>
      </c>
      <c r="G532" s="5">
        <v>246.29269393416</v>
      </c>
      <c r="H532" s="5">
        <v>-21.3169556828753</v>
      </c>
      <c r="I532" s="5">
        <v>-21.3169556828753</v>
      </c>
      <c r="J532" s="5">
        <v>-21.3169556828753</v>
      </c>
      <c r="K532" s="5">
        <v>-0.225417905350968</v>
      </c>
      <c r="L532" s="5">
        <v>-0.225417905350968</v>
      </c>
      <c r="M532" s="5">
        <v>-0.225417905350968</v>
      </c>
      <c r="N532" s="5">
        <v>-21.0915377775244</v>
      </c>
      <c r="O532" s="5">
        <v>-21.0915377775244</v>
      </c>
      <c r="P532" s="5">
        <v>-21.0915377775244</v>
      </c>
      <c r="Q532" s="5">
        <v>0.0</v>
      </c>
      <c r="R532" s="5">
        <v>0.0</v>
      </c>
      <c r="S532" s="5">
        <v>0.0</v>
      </c>
      <c r="T532" s="5">
        <v>224.975738251285</v>
      </c>
    </row>
    <row r="533">
      <c r="A533" s="5">
        <v>531.0</v>
      </c>
      <c r="B533" s="6">
        <v>44351.0</v>
      </c>
      <c r="C533" s="5">
        <v>246.603371865085</v>
      </c>
      <c r="D533" s="5">
        <v>188.57599473455</v>
      </c>
      <c r="E533" s="5">
        <v>264.486900612999</v>
      </c>
      <c r="F533" s="5">
        <v>246.603371865085</v>
      </c>
      <c r="G533" s="5">
        <v>246.603371865085</v>
      </c>
      <c r="H533" s="5">
        <v>-20.8878118442929</v>
      </c>
      <c r="I533" s="5">
        <v>-20.8878118442929</v>
      </c>
      <c r="J533" s="5">
        <v>-20.8878118442929</v>
      </c>
      <c r="K533" s="5">
        <v>-0.739640081278862</v>
      </c>
      <c r="L533" s="5">
        <v>-0.739640081278862</v>
      </c>
      <c r="M533" s="5">
        <v>-0.739640081278862</v>
      </c>
      <c r="N533" s="5">
        <v>-20.1481717630141</v>
      </c>
      <c r="O533" s="5">
        <v>-20.1481717630141</v>
      </c>
      <c r="P533" s="5">
        <v>-20.1481717630141</v>
      </c>
      <c r="Q533" s="5">
        <v>0.0</v>
      </c>
      <c r="R533" s="5">
        <v>0.0</v>
      </c>
      <c r="S533" s="5">
        <v>0.0</v>
      </c>
      <c r="T533" s="5">
        <v>225.715560020792</v>
      </c>
    </row>
    <row r="534">
      <c r="A534" s="5">
        <v>532.0</v>
      </c>
      <c r="B534" s="6">
        <v>44354.0</v>
      </c>
      <c r="C534" s="5">
        <v>247.535405657858</v>
      </c>
      <c r="D534" s="5">
        <v>187.141928922085</v>
      </c>
      <c r="E534" s="5">
        <v>269.585776123188</v>
      </c>
      <c r="F534" s="5">
        <v>247.535405657858</v>
      </c>
      <c r="G534" s="5">
        <v>247.535405657858</v>
      </c>
      <c r="H534" s="5">
        <v>-16.35620305868</v>
      </c>
      <c r="I534" s="5">
        <v>-16.35620305868</v>
      </c>
      <c r="J534" s="5">
        <v>-16.35620305868</v>
      </c>
      <c r="K534" s="5">
        <v>1.16457933345116</v>
      </c>
      <c r="L534" s="5">
        <v>1.16457933345116</v>
      </c>
      <c r="M534" s="5">
        <v>1.16457933345116</v>
      </c>
      <c r="N534" s="5">
        <v>-17.5207823921312</v>
      </c>
      <c r="O534" s="5">
        <v>-17.5207823921312</v>
      </c>
      <c r="P534" s="5">
        <v>-17.5207823921312</v>
      </c>
      <c r="Q534" s="5">
        <v>0.0</v>
      </c>
      <c r="R534" s="5">
        <v>0.0</v>
      </c>
      <c r="S534" s="5">
        <v>0.0</v>
      </c>
      <c r="T534" s="5">
        <v>231.179202599178</v>
      </c>
    </row>
    <row r="535">
      <c r="A535" s="5">
        <v>533.0</v>
      </c>
      <c r="B535" s="6">
        <v>44355.0</v>
      </c>
      <c r="C535" s="5">
        <v>247.846083588782</v>
      </c>
      <c r="D535" s="5">
        <v>189.422288465598</v>
      </c>
      <c r="E535" s="5">
        <v>268.924672497101</v>
      </c>
      <c r="F535" s="5">
        <v>247.846083588782</v>
      </c>
      <c r="G535" s="5">
        <v>247.846083588782</v>
      </c>
      <c r="H535" s="5">
        <v>-16.497393309063</v>
      </c>
      <c r="I535" s="5">
        <v>-16.497393309063</v>
      </c>
      <c r="J535" s="5">
        <v>-16.497393309063</v>
      </c>
      <c r="K535" s="5">
        <v>0.247324772138233</v>
      </c>
      <c r="L535" s="5">
        <v>0.247324772138233</v>
      </c>
      <c r="M535" s="5">
        <v>0.247324772138233</v>
      </c>
      <c r="N535" s="5">
        <v>-16.7447180812012</v>
      </c>
      <c r="O535" s="5">
        <v>-16.7447180812012</v>
      </c>
      <c r="P535" s="5">
        <v>-16.7447180812012</v>
      </c>
      <c r="Q535" s="5">
        <v>0.0</v>
      </c>
      <c r="R535" s="5">
        <v>0.0</v>
      </c>
      <c r="S535" s="5">
        <v>0.0</v>
      </c>
      <c r="T535" s="5">
        <v>231.348690279719</v>
      </c>
    </row>
    <row r="536">
      <c r="A536" s="5">
        <v>534.0</v>
      </c>
      <c r="B536" s="6">
        <v>44356.0</v>
      </c>
      <c r="C536" s="5">
        <v>248.156761519707</v>
      </c>
      <c r="D536" s="5">
        <v>193.26668332997</v>
      </c>
      <c r="E536" s="5">
        <v>274.419489709527</v>
      </c>
      <c r="F536" s="5">
        <v>248.156761519707</v>
      </c>
      <c r="G536" s="5">
        <v>248.156761519707</v>
      </c>
      <c r="H536" s="5">
        <v>-15.4215411948409</v>
      </c>
      <c r="I536" s="5">
        <v>-15.4215411948409</v>
      </c>
      <c r="J536" s="5">
        <v>-15.4215411948409</v>
      </c>
      <c r="K536" s="5">
        <v>0.608132553627653</v>
      </c>
      <c r="L536" s="5">
        <v>0.608132553627653</v>
      </c>
      <c r="M536" s="5">
        <v>0.608132553627653</v>
      </c>
      <c r="N536" s="5">
        <v>-16.0296737484685</v>
      </c>
      <c r="O536" s="5">
        <v>-16.0296737484685</v>
      </c>
      <c r="P536" s="5">
        <v>-16.0296737484685</v>
      </c>
      <c r="Q536" s="5">
        <v>0.0</v>
      </c>
      <c r="R536" s="5">
        <v>0.0</v>
      </c>
      <c r="S536" s="5">
        <v>0.0</v>
      </c>
      <c r="T536" s="5">
        <v>232.735220324866</v>
      </c>
    </row>
    <row r="537">
      <c r="A537" s="5">
        <v>535.0</v>
      </c>
      <c r="B537" s="6">
        <v>44357.0</v>
      </c>
      <c r="C537" s="5">
        <v>248.467439450631</v>
      </c>
      <c r="D537" s="5">
        <v>193.37087458971</v>
      </c>
      <c r="E537" s="5">
        <v>274.132907275994</v>
      </c>
      <c r="F537" s="5">
        <v>248.467439450631</v>
      </c>
      <c r="G537" s="5">
        <v>248.467439450631</v>
      </c>
      <c r="H537" s="5">
        <v>-15.6045500114354</v>
      </c>
      <c r="I537" s="5">
        <v>-15.6045500114354</v>
      </c>
      <c r="J537" s="5">
        <v>-15.6045500114354</v>
      </c>
      <c r="K537" s="5">
        <v>-0.225417905347162</v>
      </c>
      <c r="L537" s="5">
        <v>-0.225417905347162</v>
      </c>
      <c r="M537" s="5">
        <v>-0.225417905347162</v>
      </c>
      <c r="N537" s="5">
        <v>-15.3791321060883</v>
      </c>
      <c r="O537" s="5">
        <v>-15.3791321060883</v>
      </c>
      <c r="P537" s="5">
        <v>-15.3791321060883</v>
      </c>
      <c r="Q537" s="5">
        <v>0.0</v>
      </c>
      <c r="R537" s="5">
        <v>0.0</v>
      </c>
      <c r="S537" s="5">
        <v>0.0</v>
      </c>
      <c r="T537" s="5">
        <v>232.862889439196</v>
      </c>
    </row>
    <row r="538">
      <c r="A538" s="5">
        <v>536.0</v>
      </c>
      <c r="B538" s="6">
        <v>44358.0</v>
      </c>
      <c r="C538" s="5">
        <v>248.778117381555</v>
      </c>
      <c r="D538" s="5">
        <v>191.058270949805</v>
      </c>
      <c r="E538" s="5">
        <v>273.330385012183</v>
      </c>
      <c r="F538" s="5">
        <v>248.778117381555</v>
      </c>
      <c r="G538" s="5">
        <v>248.778117381555</v>
      </c>
      <c r="H538" s="5">
        <v>-15.5340239469681</v>
      </c>
      <c r="I538" s="5">
        <v>-15.5340239469681</v>
      </c>
      <c r="J538" s="5">
        <v>-15.5340239469681</v>
      </c>
      <c r="K538" s="5">
        <v>-0.739640081280018</v>
      </c>
      <c r="L538" s="5">
        <v>-0.739640081280018</v>
      </c>
      <c r="M538" s="5">
        <v>-0.739640081280018</v>
      </c>
      <c r="N538" s="5">
        <v>-14.794383865688</v>
      </c>
      <c r="O538" s="5">
        <v>-14.794383865688</v>
      </c>
      <c r="P538" s="5">
        <v>-14.794383865688</v>
      </c>
      <c r="Q538" s="5">
        <v>0.0</v>
      </c>
      <c r="R538" s="5">
        <v>0.0</v>
      </c>
      <c r="S538" s="5">
        <v>0.0</v>
      </c>
      <c r="T538" s="5">
        <v>233.244093434587</v>
      </c>
    </row>
    <row r="539">
      <c r="A539" s="5">
        <v>537.0</v>
      </c>
      <c r="B539" s="6">
        <v>44361.0</v>
      </c>
      <c r="C539" s="5">
        <v>249.710151174328</v>
      </c>
      <c r="D539" s="5">
        <v>200.030280356884</v>
      </c>
      <c r="E539" s="5">
        <v>278.674048424599</v>
      </c>
      <c r="F539" s="5">
        <v>249.710151174328</v>
      </c>
      <c r="G539" s="5">
        <v>249.710151174328</v>
      </c>
      <c r="H539" s="5">
        <v>-12.2517364563382</v>
      </c>
      <c r="I539" s="5">
        <v>-12.2517364563382</v>
      </c>
      <c r="J539" s="5">
        <v>-12.2517364563382</v>
      </c>
      <c r="K539" s="5">
        <v>1.16457933345139</v>
      </c>
      <c r="L539" s="5">
        <v>1.16457933345139</v>
      </c>
      <c r="M539" s="5">
        <v>1.16457933345139</v>
      </c>
      <c r="N539" s="5">
        <v>-13.4163157897896</v>
      </c>
      <c r="O539" s="5">
        <v>-13.4163157897896</v>
      </c>
      <c r="P539" s="5">
        <v>-13.4163157897896</v>
      </c>
      <c r="Q539" s="5">
        <v>0.0</v>
      </c>
      <c r="R539" s="5">
        <v>0.0</v>
      </c>
      <c r="S539" s="5">
        <v>0.0</v>
      </c>
      <c r="T539" s="5">
        <v>237.45841471799</v>
      </c>
    </row>
    <row r="540">
      <c r="A540" s="5">
        <v>538.0</v>
      </c>
      <c r="B540" s="6">
        <v>44362.0</v>
      </c>
      <c r="C540" s="5">
        <v>250.020829105253</v>
      </c>
      <c r="D540" s="5">
        <v>196.482562108443</v>
      </c>
      <c r="E540" s="5">
        <v>278.008608306597</v>
      </c>
      <c r="F540" s="5">
        <v>250.020829105253</v>
      </c>
      <c r="G540" s="5">
        <v>250.020829105253</v>
      </c>
      <c r="H540" s="5">
        <v>-12.8193352613327</v>
      </c>
      <c r="I540" s="5">
        <v>-12.8193352613327</v>
      </c>
      <c r="J540" s="5">
        <v>-12.8193352613327</v>
      </c>
      <c r="K540" s="5">
        <v>0.247324772138322</v>
      </c>
      <c r="L540" s="5">
        <v>0.247324772138322</v>
      </c>
      <c r="M540" s="5">
        <v>0.247324772138322</v>
      </c>
      <c r="N540" s="5">
        <v>-13.066660033471</v>
      </c>
      <c r="O540" s="5">
        <v>-13.066660033471</v>
      </c>
      <c r="P540" s="5">
        <v>-13.066660033471</v>
      </c>
      <c r="Q540" s="5">
        <v>0.0</v>
      </c>
      <c r="R540" s="5">
        <v>0.0</v>
      </c>
      <c r="S540" s="5">
        <v>0.0</v>
      </c>
      <c r="T540" s="5">
        <v>237.20149384392</v>
      </c>
    </row>
    <row r="541">
      <c r="A541" s="5">
        <v>539.0</v>
      </c>
      <c r="B541" s="6">
        <v>44363.0</v>
      </c>
      <c r="C541" s="5">
        <v>250.331507036177</v>
      </c>
      <c r="D541" s="5">
        <v>197.71836039257</v>
      </c>
      <c r="E541" s="5">
        <v>277.084872851106</v>
      </c>
      <c r="F541" s="5">
        <v>250.331507036177</v>
      </c>
      <c r="G541" s="5">
        <v>250.331507036177</v>
      </c>
      <c r="H541" s="5">
        <v>-12.1518630065121</v>
      </c>
      <c r="I541" s="5">
        <v>-12.1518630065121</v>
      </c>
      <c r="J541" s="5">
        <v>-12.1518630065121</v>
      </c>
      <c r="K541" s="5">
        <v>0.608132553629431</v>
      </c>
      <c r="L541" s="5">
        <v>0.608132553629431</v>
      </c>
      <c r="M541" s="5">
        <v>0.608132553629431</v>
      </c>
      <c r="N541" s="5">
        <v>-12.7599955601416</v>
      </c>
      <c r="O541" s="5">
        <v>-12.7599955601416</v>
      </c>
      <c r="P541" s="5">
        <v>-12.7599955601416</v>
      </c>
      <c r="Q541" s="5">
        <v>0.0</v>
      </c>
      <c r="R541" s="5">
        <v>0.0</v>
      </c>
      <c r="S541" s="5">
        <v>0.0</v>
      </c>
      <c r="T541" s="5">
        <v>238.179644029665</v>
      </c>
    </row>
    <row r="542">
      <c r="A542" s="5">
        <v>540.0</v>
      </c>
      <c r="B542" s="6">
        <v>44364.0</v>
      </c>
      <c r="C542" s="5">
        <v>250.642184967102</v>
      </c>
      <c r="D542" s="5">
        <v>197.595512811447</v>
      </c>
      <c r="E542" s="5">
        <v>276.833109394113</v>
      </c>
      <c r="F542" s="5">
        <v>250.642184967102</v>
      </c>
      <c r="G542" s="5">
        <v>250.642184967102</v>
      </c>
      <c r="H542" s="5">
        <v>-12.7127747126692</v>
      </c>
      <c r="I542" s="5">
        <v>-12.7127747126692</v>
      </c>
      <c r="J542" s="5">
        <v>-12.7127747126692</v>
      </c>
      <c r="K542" s="5">
        <v>-0.2254179053482</v>
      </c>
      <c r="L542" s="5">
        <v>-0.2254179053482</v>
      </c>
      <c r="M542" s="5">
        <v>-0.2254179053482</v>
      </c>
      <c r="N542" s="5">
        <v>-12.487356807321</v>
      </c>
      <c r="O542" s="5">
        <v>-12.487356807321</v>
      </c>
      <c r="P542" s="5">
        <v>-12.487356807321</v>
      </c>
      <c r="Q542" s="5">
        <v>0.0</v>
      </c>
      <c r="R542" s="5">
        <v>0.0</v>
      </c>
      <c r="S542" s="5">
        <v>0.0</v>
      </c>
      <c r="T542" s="5">
        <v>237.929410254432</v>
      </c>
    </row>
    <row r="543">
      <c r="A543" s="5">
        <v>541.0</v>
      </c>
      <c r="B543" s="6">
        <v>44365.0</v>
      </c>
      <c r="C543" s="5">
        <v>250.952862898026</v>
      </c>
      <c r="D543" s="5">
        <v>198.927454819778</v>
      </c>
      <c r="E543" s="5">
        <v>276.762515170894</v>
      </c>
      <c r="F543" s="5">
        <v>250.952862898026</v>
      </c>
      <c r="G543" s="5">
        <v>250.952862898026</v>
      </c>
      <c r="H543" s="5">
        <v>-12.9786133966402</v>
      </c>
      <c r="I543" s="5">
        <v>-12.9786133966402</v>
      </c>
      <c r="J543" s="5">
        <v>-12.9786133966402</v>
      </c>
      <c r="K543" s="5">
        <v>-0.739640081282544</v>
      </c>
      <c r="L543" s="5">
        <v>-0.739640081282544</v>
      </c>
      <c r="M543" s="5">
        <v>-0.739640081282544</v>
      </c>
      <c r="N543" s="5">
        <v>-12.2389733153577</v>
      </c>
      <c r="O543" s="5">
        <v>-12.2389733153577</v>
      </c>
      <c r="P543" s="5">
        <v>-12.2389733153577</v>
      </c>
      <c r="Q543" s="5">
        <v>0.0</v>
      </c>
      <c r="R543" s="5">
        <v>0.0</v>
      </c>
      <c r="S543" s="5">
        <v>0.0</v>
      </c>
      <c r="T543" s="5">
        <v>237.974249501386</v>
      </c>
    </row>
    <row r="544">
      <c r="A544" s="5">
        <v>542.0</v>
      </c>
      <c r="B544" s="6">
        <v>44368.0</v>
      </c>
      <c r="C544" s="5">
        <v>251.884896690799</v>
      </c>
      <c r="D544" s="5">
        <v>201.203493111691</v>
      </c>
      <c r="E544" s="5">
        <v>283.728971782614</v>
      </c>
      <c r="F544" s="5">
        <v>251.884896690799</v>
      </c>
      <c r="G544" s="5">
        <v>251.884896690799</v>
      </c>
      <c r="H544" s="5">
        <v>-10.3719683564327</v>
      </c>
      <c r="I544" s="5">
        <v>-10.3719683564327</v>
      </c>
      <c r="J544" s="5">
        <v>-10.3719683564327</v>
      </c>
      <c r="K544" s="5">
        <v>1.16457933345183</v>
      </c>
      <c r="L544" s="5">
        <v>1.16457933345183</v>
      </c>
      <c r="M544" s="5">
        <v>1.16457933345183</v>
      </c>
      <c r="N544" s="5">
        <v>-11.5365476898845</v>
      </c>
      <c r="O544" s="5">
        <v>-11.5365476898845</v>
      </c>
      <c r="P544" s="5">
        <v>-11.5365476898845</v>
      </c>
      <c r="Q544" s="5">
        <v>0.0</v>
      </c>
      <c r="R544" s="5">
        <v>0.0</v>
      </c>
      <c r="S544" s="5">
        <v>0.0</v>
      </c>
      <c r="T544" s="5">
        <v>241.512928334366</v>
      </c>
    </row>
    <row r="545">
      <c r="A545" s="5">
        <v>543.0</v>
      </c>
      <c r="B545" s="6">
        <v>44369.0</v>
      </c>
      <c r="C545" s="5">
        <v>252.195574621724</v>
      </c>
      <c r="D545" s="5">
        <v>198.997841931341</v>
      </c>
      <c r="E545" s="5">
        <v>283.924932755244</v>
      </c>
      <c r="F545" s="5">
        <v>252.195574621724</v>
      </c>
      <c r="G545" s="5">
        <v>252.195574621724</v>
      </c>
      <c r="H545" s="5">
        <v>-11.0356750122812</v>
      </c>
      <c r="I545" s="5">
        <v>-11.0356750122812</v>
      </c>
      <c r="J545" s="5">
        <v>-11.0356750122812</v>
      </c>
      <c r="K545" s="5">
        <v>0.247324772139707</v>
      </c>
      <c r="L545" s="5">
        <v>0.247324772139707</v>
      </c>
      <c r="M545" s="5">
        <v>0.247324772139707</v>
      </c>
      <c r="N545" s="5">
        <v>-11.2829997844209</v>
      </c>
      <c r="O545" s="5">
        <v>-11.2829997844209</v>
      </c>
      <c r="P545" s="5">
        <v>-11.2829997844209</v>
      </c>
      <c r="Q545" s="5">
        <v>0.0</v>
      </c>
      <c r="R545" s="5">
        <v>0.0</v>
      </c>
      <c r="S545" s="5">
        <v>0.0</v>
      </c>
      <c r="T545" s="5">
        <v>241.159899609442</v>
      </c>
    </row>
    <row r="546">
      <c r="A546" s="5">
        <v>544.0</v>
      </c>
      <c r="B546" s="6">
        <v>44370.0</v>
      </c>
      <c r="C546" s="5">
        <v>252.506252552648</v>
      </c>
      <c r="D546" s="5">
        <v>199.544978601927</v>
      </c>
      <c r="E546" s="5">
        <v>278.779917712452</v>
      </c>
      <c r="F546" s="5">
        <v>252.506252552648</v>
      </c>
      <c r="G546" s="5">
        <v>252.506252552648</v>
      </c>
      <c r="H546" s="5">
        <v>-10.3962046411709</v>
      </c>
      <c r="I546" s="5">
        <v>-10.3962046411709</v>
      </c>
      <c r="J546" s="5">
        <v>-10.3962046411709</v>
      </c>
      <c r="K546" s="5">
        <v>0.608132553625873</v>
      </c>
      <c r="L546" s="5">
        <v>0.608132553625873</v>
      </c>
      <c r="M546" s="5">
        <v>0.608132553625873</v>
      </c>
      <c r="N546" s="5">
        <v>-11.0043371947968</v>
      </c>
      <c r="O546" s="5">
        <v>-11.0043371947968</v>
      </c>
      <c r="P546" s="5">
        <v>-11.0043371947968</v>
      </c>
      <c r="Q546" s="5">
        <v>0.0</v>
      </c>
      <c r="R546" s="5">
        <v>0.0</v>
      </c>
      <c r="S546" s="5">
        <v>0.0</v>
      </c>
      <c r="T546" s="5">
        <v>242.110047911477</v>
      </c>
    </row>
    <row r="547">
      <c r="A547" s="5">
        <v>545.0</v>
      </c>
      <c r="B547" s="6">
        <v>44371.0</v>
      </c>
      <c r="C547" s="5">
        <v>252.816930483572</v>
      </c>
      <c r="D547" s="5">
        <v>202.107509552181</v>
      </c>
      <c r="E547" s="5">
        <v>282.574913415867</v>
      </c>
      <c r="F547" s="5">
        <v>252.816930483572</v>
      </c>
      <c r="G547" s="5">
        <v>252.816930483572</v>
      </c>
      <c r="H547" s="5">
        <v>-10.9181707918748</v>
      </c>
      <c r="I547" s="5">
        <v>-10.9181707918748</v>
      </c>
      <c r="J547" s="5">
        <v>-10.9181707918748</v>
      </c>
      <c r="K547" s="5">
        <v>-0.225417905347779</v>
      </c>
      <c r="L547" s="5">
        <v>-0.225417905347779</v>
      </c>
      <c r="M547" s="5">
        <v>-0.225417905347779</v>
      </c>
      <c r="N547" s="5">
        <v>-10.692752886527</v>
      </c>
      <c r="O547" s="5">
        <v>-10.692752886527</v>
      </c>
      <c r="P547" s="5">
        <v>-10.692752886527</v>
      </c>
      <c r="Q547" s="5">
        <v>0.0</v>
      </c>
      <c r="R547" s="5">
        <v>0.0</v>
      </c>
      <c r="S547" s="5">
        <v>0.0</v>
      </c>
      <c r="T547" s="5">
        <v>241.898759691698</v>
      </c>
    </row>
    <row r="548">
      <c r="A548" s="5">
        <v>546.0</v>
      </c>
      <c r="B548" s="6">
        <v>44372.0</v>
      </c>
      <c r="C548" s="5">
        <v>253.127608414497</v>
      </c>
      <c r="D548" s="5">
        <v>201.489758376789</v>
      </c>
      <c r="E548" s="5">
        <v>283.345698894696</v>
      </c>
      <c r="F548" s="5">
        <v>253.127608414497</v>
      </c>
      <c r="G548" s="5">
        <v>253.127608414497</v>
      </c>
      <c r="H548" s="5">
        <v>-11.0813704642854</v>
      </c>
      <c r="I548" s="5">
        <v>-11.0813704642854</v>
      </c>
      <c r="J548" s="5">
        <v>-11.0813704642854</v>
      </c>
      <c r="K548" s="5">
        <v>-0.739640081280267</v>
      </c>
      <c r="L548" s="5">
        <v>-0.739640081280267</v>
      </c>
      <c r="M548" s="5">
        <v>-0.739640081280267</v>
      </c>
      <c r="N548" s="5">
        <v>-10.3417303830051</v>
      </c>
      <c r="O548" s="5">
        <v>-10.3417303830051</v>
      </c>
      <c r="P548" s="5">
        <v>-10.3417303830051</v>
      </c>
      <c r="Q548" s="5">
        <v>0.0</v>
      </c>
      <c r="R548" s="5">
        <v>0.0</v>
      </c>
      <c r="S548" s="5">
        <v>0.0</v>
      </c>
      <c r="T548" s="5">
        <v>242.046237950211</v>
      </c>
    </row>
    <row r="549">
      <c r="A549" s="5">
        <v>547.0</v>
      </c>
      <c r="B549" s="6">
        <v>44375.0</v>
      </c>
      <c r="C549" s="5">
        <v>254.05964220727</v>
      </c>
      <c r="D549" s="5">
        <v>205.582821003299</v>
      </c>
      <c r="E549" s="5">
        <v>287.231900951372</v>
      </c>
      <c r="F549" s="5">
        <v>254.05964220727</v>
      </c>
      <c r="G549" s="5">
        <v>254.05964220727</v>
      </c>
      <c r="H549" s="5">
        <v>-7.84505963471851</v>
      </c>
      <c r="I549" s="5">
        <v>-7.84505963471851</v>
      </c>
      <c r="J549" s="5">
        <v>-7.84505963471851</v>
      </c>
      <c r="K549" s="5">
        <v>1.16457933345034</v>
      </c>
      <c r="L549" s="5">
        <v>1.16457933345034</v>
      </c>
      <c r="M549" s="5">
        <v>1.16457933345034</v>
      </c>
      <c r="N549" s="5">
        <v>-9.00963896816886</v>
      </c>
      <c r="O549" s="5">
        <v>-9.00963896816886</v>
      </c>
      <c r="P549" s="5">
        <v>-9.00963896816886</v>
      </c>
      <c r="Q549" s="5">
        <v>0.0</v>
      </c>
      <c r="R549" s="5">
        <v>0.0</v>
      </c>
      <c r="S549" s="5">
        <v>0.0</v>
      </c>
      <c r="T549" s="5">
        <v>246.214582572551</v>
      </c>
    </row>
    <row r="550">
      <c r="A550" s="5">
        <v>548.0</v>
      </c>
      <c r="B550" s="6">
        <v>44376.0</v>
      </c>
      <c r="C550" s="5">
        <v>254.370320138194</v>
      </c>
      <c r="D550" s="5">
        <v>205.934248142508</v>
      </c>
      <c r="E550" s="5">
        <v>287.678698554058</v>
      </c>
      <c r="F550" s="5">
        <v>254.370320138194</v>
      </c>
      <c r="G550" s="5">
        <v>254.370320138194</v>
      </c>
      <c r="H550" s="5">
        <v>-8.21940066662552</v>
      </c>
      <c r="I550" s="5">
        <v>-8.21940066662552</v>
      </c>
      <c r="J550" s="5">
        <v>-8.21940066662552</v>
      </c>
      <c r="K550" s="5">
        <v>0.247324772139795</v>
      </c>
      <c r="L550" s="5">
        <v>0.247324772139795</v>
      </c>
      <c r="M550" s="5">
        <v>0.247324772139795</v>
      </c>
      <c r="N550" s="5">
        <v>-8.46672543876532</v>
      </c>
      <c r="O550" s="5">
        <v>-8.46672543876532</v>
      </c>
      <c r="P550" s="5">
        <v>-8.46672543876532</v>
      </c>
      <c r="Q550" s="5">
        <v>0.0</v>
      </c>
      <c r="R550" s="5">
        <v>0.0</v>
      </c>
      <c r="S550" s="5">
        <v>0.0</v>
      </c>
      <c r="T550" s="5">
        <v>246.150919471569</v>
      </c>
    </row>
    <row r="551">
      <c r="A551" s="5">
        <v>549.0</v>
      </c>
      <c r="B551" s="6">
        <v>44377.0</v>
      </c>
      <c r="C551" s="5">
        <v>254.680998069119</v>
      </c>
      <c r="D551" s="5">
        <v>207.339562044979</v>
      </c>
      <c r="E551" s="5">
        <v>288.930685184429</v>
      </c>
      <c r="F551" s="5">
        <v>254.680998069119</v>
      </c>
      <c r="G551" s="5">
        <v>254.680998069119</v>
      </c>
      <c r="H551" s="5">
        <v>-7.26751680520291</v>
      </c>
      <c r="I551" s="5">
        <v>-7.26751680520291</v>
      </c>
      <c r="J551" s="5">
        <v>-7.26751680520291</v>
      </c>
      <c r="K551" s="5">
        <v>0.608132553627652</v>
      </c>
      <c r="L551" s="5">
        <v>0.608132553627652</v>
      </c>
      <c r="M551" s="5">
        <v>0.608132553627652</v>
      </c>
      <c r="N551" s="5">
        <v>-7.87564935883056</v>
      </c>
      <c r="O551" s="5">
        <v>-7.87564935883056</v>
      </c>
      <c r="P551" s="5">
        <v>-7.87564935883056</v>
      </c>
      <c r="Q551" s="5">
        <v>0.0</v>
      </c>
      <c r="R551" s="5">
        <v>0.0</v>
      </c>
      <c r="S551" s="5">
        <v>0.0</v>
      </c>
      <c r="T551" s="5">
        <v>247.413481263916</v>
      </c>
    </row>
    <row r="552">
      <c r="A552" s="5">
        <v>550.0</v>
      </c>
      <c r="B552" s="6">
        <v>44378.0</v>
      </c>
      <c r="C552" s="5">
        <v>254.991676000043</v>
      </c>
      <c r="D552" s="5">
        <v>204.241296023221</v>
      </c>
      <c r="E552" s="5">
        <v>283.331525309359</v>
      </c>
      <c r="F552" s="5">
        <v>254.991676000043</v>
      </c>
      <c r="G552" s="5">
        <v>254.991676000043</v>
      </c>
      <c r="H552" s="5">
        <v>-7.46503347391043</v>
      </c>
      <c r="I552" s="5">
        <v>-7.46503347391043</v>
      </c>
      <c r="J552" s="5">
        <v>-7.46503347391043</v>
      </c>
      <c r="K552" s="5">
        <v>-0.225417905350744</v>
      </c>
      <c r="L552" s="5">
        <v>-0.225417905350744</v>
      </c>
      <c r="M552" s="5">
        <v>-0.225417905350744</v>
      </c>
      <c r="N552" s="5">
        <v>-7.23961556855969</v>
      </c>
      <c r="O552" s="5">
        <v>-7.23961556855969</v>
      </c>
      <c r="P552" s="5">
        <v>-7.23961556855969</v>
      </c>
      <c r="Q552" s="5">
        <v>0.0</v>
      </c>
      <c r="R552" s="5">
        <v>0.0</v>
      </c>
      <c r="S552" s="5">
        <v>0.0</v>
      </c>
      <c r="T552" s="5">
        <v>247.526642526132</v>
      </c>
    </row>
    <row r="553">
      <c r="A553" s="5">
        <v>551.0</v>
      </c>
      <c r="B553" s="6">
        <v>44379.0</v>
      </c>
      <c r="C553" s="5">
        <v>255.302353930967</v>
      </c>
      <c r="D553" s="5">
        <v>207.347218721828</v>
      </c>
      <c r="E553" s="5">
        <v>289.329423896638</v>
      </c>
      <c r="F553" s="5">
        <v>255.302353930967</v>
      </c>
      <c r="G553" s="5">
        <v>255.302353930967</v>
      </c>
      <c r="H553" s="5">
        <v>-7.30294111281443</v>
      </c>
      <c r="I553" s="5">
        <v>-7.30294111281443</v>
      </c>
      <c r="J553" s="5">
        <v>-7.30294111281443</v>
      </c>
      <c r="K553" s="5">
        <v>-0.739640081281423</v>
      </c>
      <c r="L553" s="5">
        <v>-0.739640081281423</v>
      </c>
      <c r="M553" s="5">
        <v>-0.739640081281423</v>
      </c>
      <c r="N553" s="5">
        <v>-6.56330103153301</v>
      </c>
      <c r="O553" s="5">
        <v>-6.56330103153301</v>
      </c>
      <c r="P553" s="5">
        <v>-6.56330103153301</v>
      </c>
      <c r="Q553" s="5">
        <v>0.0</v>
      </c>
      <c r="R553" s="5">
        <v>0.0</v>
      </c>
      <c r="S553" s="5">
        <v>0.0</v>
      </c>
      <c r="T553" s="5">
        <v>247.999412818153</v>
      </c>
    </row>
    <row r="554">
      <c r="A554" s="5">
        <v>552.0</v>
      </c>
      <c r="B554" s="6">
        <v>44383.0</v>
      </c>
      <c r="C554" s="5">
        <v>256.545065654665</v>
      </c>
      <c r="D554" s="5">
        <v>214.16180373232</v>
      </c>
      <c r="E554" s="5">
        <v>294.415907481594</v>
      </c>
      <c r="F554" s="5">
        <v>256.545065654665</v>
      </c>
      <c r="G554" s="5">
        <v>256.545065654665</v>
      </c>
      <c r="H554" s="5">
        <v>-3.34266585217743</v>
      </c>
      <c r="I554" s="5">
        <v>-3.34266585217743</v>
      </c>
      <c r="J554" s="5">
        <v>-3.34266585217743</v>
      </c>
      <c r="K554" s="5">
        <v>0.247324772138461</v>
      </c>
      <c r="L554" s="5">
        <v>0.247324772138461</v>
      </c>
      <c r="M554" s="5">
        <v>0.247324772138461</v>
      </c>
      <c r="N554" s="5">
        <v>-3.5899906243159</v>
      </c>
      <c r="O554" s="5">
        <v>-3.5899906243159</v>
      </c>
      <c r="P554" s="5">
        <v>-3.5899906243159</v>
      </c>
      <c r="Q554" s="5">
        <v>0.0</v>
      </c>
      <c r="R554" s="5">
        <v>0.0</v>
      </c>
      <c r="S554" s="5">
        <v>0.0</v>
      </c>
      <c r="T554" s="5">
        <v>253.202399802487</v>
      </c>
    </row>
    <row r="555">
      <c r="A555" s="5">
        <v>553.0</v>
      </c>
      <c r="B555" s="6">
        <v>44384.0</v>
      </c>
      <c r="C555" s="5">
        <v>256.855743585589</v>
      </c>
      <c r="D555" s="5">
        <v>214.232218352403</v>
      </c>
      <c r="E555" s="5">
        <v>295.637305462145</v>
      </c>
      <c r="F555" s="5">
        <v>256.855743585589</v>
      </c>
      <c r="G555" s="5">
        <v>256.855743585589</v>
      </c>
      <c r="H555" s="5">
        <v>-2.21230942963496</v>
      </c>
      <c r="I555" s="5">
        <v>-2.21230942963496</v>
      </c>
      <c r="J555" s="5">
        <v>-2.21230942963496</v>
      </c>
      <c r="K555" s="5">
        <v>0.608132553626762</v>
      </c>
      <c r="L555" s="5">
        <v>0.608132553626762</v>
      </c>
      <c r="M555" s="5">
        <v>0.608132553626762</v>
      </c>
      <c r="N555" s="5">
        <v>-2.82044198326172</v>
      </c>
      <c r="O555" s="5">
        <v>-2.82044198326172</v>
      </c>
      <c r="P555" s="5">
        <v>-2.82044198326172</v>
      </c>
      <c r="Q555" s="5">
        <v>0.0</v>
      </c>
      <c r="R555" s="5">
        <v>0.0</v>
      </c>
      <c r="S555" s="5">
        <v>0.0</v>
      </c>
      <c r="T555" s="5">
        <v>254.643434155954</v>
      </c>
    </row>
    <row r="556">
      <c r="A556" s="5">
        <v>554.0</v>
      </c>
      <c r="B556" s="6">
        <v>44385.0</v>
      </c>
      <c r="C556" s="5">
        <v>257.166421516514</v>
      </c>
      <c r="D556" s="5">
        <v>214.126114629391</v>
      </c>
      <c r="E556" s="5">
        <v>298.312516033232</v>
      </c>
      <c r="F556" s="5">
        <v>257.166421516514</v>
      </c>
      <c r="G556" s="5">
        <v>257.166421516514</v>
      </c>
      <c r="H556" s="5">
        <v>-2.28354467974903</v>
      </c>
      <c r="I556" s="5">
        <v>-2.28354467974903</v>
      </c>
      <c r="J556" s="5">
        <v>-2.28354467974903</v>
      </c>
      <c r="K556" s="5">
        <v>-0.225417905353709</v>
      </c>
      <c r="L556" s="5">
        <v>-0.225417905353709</v>
      </c>
      <c r="M556" s="5">
        <v>-0.225417905353709</v>
      </c>
      <c r="N556" s="5">
        <v>-2.05812677439532</v>
      </c>
      <c r="O556" s="5">
        <v>-2.05812677439532</v>
      </c>
      <c r="P556" s="5">
        <v>-2.05812677439532</v>
      </c>
      <c r="Q556" s="5">
        <v>0.0</v>
      </c>
      <c r="R556" s="5">
        <v>0.0</v>
      </c>
      <c r="S556" s="5">
        <v>0.0</v>
      </c>
      <c r="T556" s="5">
        <v>254.882876836765</v>
      </c>
    </row>
    <row r="557">
      <c r="A557" s="5">
        <v>555.0</v>
      </c>
      <c r="B557" s="6">
        <v>44386.0</v>
      </c>
      <c r="C557" s="5">
        <v>257.477099447438</v>
      </c>
      <c r="D557" s="5">
        <v>216.214558409367</v>
      </c>
      <c r="E557" s="5">
        <v>295.101168247691</v>
      </c>
      <c r="F557" s="5">
        <v>257.477099447438</v>
      </c>
      <c r="G557" s="5">
        <v>257.477099447438</v>
      </c>
      <c r="H557" s="5">
        <v>-2.0515024678692</v>
      </c>
      <c r="I557" s="5">
        <v>-2.0515024678692</v>
      </c>
      <c r="J557" s="5">
        <v>-2.0515024678692</v>
      </c>
      <c r="K557" s="5">
        <v>-0.739640081279146</v>
      </c>
      <c r="L557" s="5">
        <v>-0.739640081279146</v>
      </c>
      <c r="M557" s="5">
        <v>-0.739640081279146</v>
      </c>
      <c r="N557" s="5">
        <v>-1.31186238659006</v>
      </c>
      <c r="O557" s="5">
        <v>-1.31186238659006</v>
      </c>
      <c r="P557" s="5">
        <v>-1.31186238659006</v>
      </c>
      <c r="Q557" s="5">
        <v>0.0</v>
      </c>
      <c r="R557" s="5">
        <v>0.0</v>
      </c>
      <c r="S557" s="5">
        <v>0.0</v>
      </c>
      <c r="T557" s="5">
        <v>255.425596979569</v>
      </c>
    </row>
    <row r="558">
      <c r="A558" s="5">
        <v>556.0</v>
      </c>
      <c r="B558" s="6">
        <v>44389.0</v>
      </c>
      <c r="C558" s="5">
        <v>258.409133240211</v>
      </c>
      <c r="D558" s="5">
        <v>219.462163110772</v>
      </c>
      <c r="E558" s="5">
        <v>300.22873101092</v>
      </c>
      <c r="F558" s="5">
        <v>258.409133240211</v>
      </c>
      <c r="G558" s="5">
        <v>258.409133240211</v>
      </c>
      <c r="H558" s="5">
        <v>1.91497962919981</v>
      </c>
      <c r="I558" s="5">
        <v>1.91497962919981</v>
      </c>
      <c r="J558" s="5">
        <v>1.91497962919981</v>
      </c>
      <c r="K558" s="5">
        <v>1.16457933345102</v>
      </c>
      <c r="L558" s="5">
        <v>1.16457933345102</v>
      </c>
      <c r="M558" s="5">
        <v>1.16457933345102</v>
      </c>
      <c r="N558" s="5">
        <v>0.750400295748795</v>
      </c>
      <c r="O558" s="5">
        <v>0.750400295748795</v>
      </c>
      <c r="P558" s="5">
        <v>0.750400295748795</v>
      </c>
      <c r="Q558" s="5">
        <v>0.0</v>
      </c>
      <c r="R558" s="5">
        <v>0.0</v>
      </c>
      <c r="S558" s="5">
        <v>0.0</v>
      </c>
      <c r="T558" s="5">
        <v>260.324112869411</v>
      </c>
    </row>
    <row r="559">
      <c r="A559" s="5">
        <v>557.0</v>
      </c>
      <c r="B559" s="6">
        <v>44390.0</v>
      </c>
      <c r="C559" s="5">
        <v>258.719811171136</v>
      </c>
      <c r="D559" s="5">
        <v>218.427978602358</v>
      </c>
      <c r="E559" s="5">
        <v>300.644333482518</v>
      </c>
      <c r="F559" s="5">
        <v>258.719811171136</v>
      </c>
      <c r="G559" s="5">
        <v>258.719811171136</v>
      </c>
      <c r="H559" s="5">
        <v>1.60371202230353</v>
      </c>
      <c r="I559" s="5">
        <v>1.60371202230353</v>
      </c>
      <c r="J559" s="5">
        <v>1.60371202230353</v>
      </c>
      <c r="K559" s="5">
        <v>0.247324772138549</v>
      </c>
      <c r="L559" s="5">
        <v>0.247324772138549</v>
      </c>
      <c r="M559" s="5">
        <v>0.247324772138549</v>
      </c>
      <c r="N559" s="5">
        <v>1.35638725016498</v>
      </c>
      <c r="O559" s="5">
        <v>1.35638725016498</v>
      </c>
      <c r="P559" s="5">
        <v>1.35638725016498</v>
      </c>
      <c r="Q559" s="5">
        <v>0.0</v>
      </c>
      <c r="R559" s="5">
        <v>0.0</v>
      </c>
      <c r="S559" s="5">
        <v>0.0</v>
      </c>
      <c r="T559" s="5">
        <v>260.323523193439</v>
      </c>
    </row>
    <row r="560">
      <c r="A560" s="5">
        <v>558.0</v>
      </c>
      <c r="B560" s="6">
        <v>44391.0</v>
      </c>
      <c r="C560" s="5">
        <v>259.03048910206</v>
      </c>
      <c r="D560" s="5">
        <v>222.057036632534</v>
      </c>
      <c r="E560" s="5">
        <v>300.287411912199</v>
      </c>
      <c r="F560" s="5">
        <v>259.03048910206</v>
      </c>
      <c r="G560" s="5">
        <v>259.03048910206</v>
      </c>
      <c r="H560" s="5">
        <v>2.52117373610639</v>
      </c>
      <c r="I560" s="5">
        <v>2.52117373610639</v>
      </c>
      <c r="J560" s="5">
        <v>2.52117373610639</v>
      </c>
      <c r="K560" s="5">
        <v>0.608132553627427</v>
      </c>
      <c r="L560" s="5">
        <v>0.608132553627427</v>
      </c>
      <c r="M560" s="5">
        <v>0.608132553627427</v>
      </c>
      <c r="N560" s="5">
        <v>1.91304118247897</v>
      </c>
      <c r="O560" s="5">
        <v>1.91304118247897</v>
      </c>
      <c r="P560" s="5">
        <v>1.91304118247897</v>
      </c>
      <c r="Q560" s="5">
        <v>0.0</v>
      </c>
      <c r="R560" s="5">
        <v>0.0</v>
      </c>
      <c r="S560" s="5">
        <v>0.0</v>
      </c>
      <c r="T560" s="5">
        <v>261.551662838166</v>
      </c>
    </row>
    <row r="561">
      <c r="A561" s="5">
        <v>559.0</v>
      </c>
      <c r="B561" s="6">
        <v>44392.0</v>
      </c>
      <c r="C561" s="5">
        <v>259.341167032984</v>
      </c>
      <c r="D561" s="5">
        <v>222.625192869321</v>
      </c>
      <c r="E561" s="5">
        <v>302.016512123184</v>
      </c>
      <c r="F561" s="5">
        <v>259.341167032984</v>
      </c>
      <c r="G561" s="5">
        <v>259.341167032984</v>
      </c>
      <c r="H561" s="5">
        <v>2.19163902579425</v>
      </c>
      <c r="I561" s="5">
        <v>2.19163902579425</v>
      </c>
      <c r="J561" s="5">
        <v>2.19163902579425</v>
      </c>
      <c r="K561" s="5">
        <v>-0.22541790534459</v>
      </c>
      <c r="L561" s="5">
        <v>-0.22541790534459</v>
      </c>
      <c r="M561" s="5">
        <v>-0.22541790534459</v>
      </c>
      <c r="N561" s="5">
        <v>2.41705693113884</v>
      </c>
      <c r="O561" s="5">
        <v>2.41705693113884</v>
      </c>
      <c r="P561" s="5">
        <v>2.41705693113884</v>
      </c>
      <c r="Q561" s="5">
        <v>0.0</v>
      </c>
      <c r="R561" s="5">
        <v>0.0</v>
      </c>
      <c r="S561" s="5">
        <v>0.0</v>
      </c>
      <c r="T561" s="5">
        <v>261.532806058779</v>
      </c>
    </row>
    <row r="562">
      <c r="A562" s="5">
        <v>560.0</v>
      </c>
      <c r="B562" s="6">
        <v>44393.0</v>
      </c>
      <c r="C562" s="5">
        <v>259.651844963909</v>
      </c>
      <c r="D562" s="5">
        <v>222.778350141653</v>
      </c>
      <c r="E562" s="5">
        <v>301.957755770438</v>
      </c>
      <c r="F562" s="5">
        <v>259.651844963909</v>
      </c>
      <c r="G562" s="5">
        <v>259.651844963909</v>
      </c>
      <c r="H562" s="5">
        <v>2.12682628442547</v>
      </c>
      <c r="I562" s="5">
        <v>2.12682628442547</v>
      </c>
      <c r="J562" s="5">
        <v>2.12682628442547</v>
      </c>
      <c r="K562" s="5">
        <v>-0.739640081283734</v>
      </c>
      <c r="L562" s="5">
        <v>-0.739640081283734</v>
      </c>
      <c r="M562" s="5">
        <v>-0.739640081283734</v>
      </c>
      <c r="N562" s="5">
        <v>2.86646636570921</v>
      </c>
      <c r="O562" s="5">
        <v>2.86646636570921</v>
      </c>
      <c r="P562" s="5">
        <v>2.86646636570921</v>
      </c>
      <c r="Q562" s="5">
        <v>0.0</v>
      </c>
      <c r="R562" s="5">
        <v>0.0</v>
      </c>
      <c r="S562" s="5">
        <v>0.0</v>
      </c>
      <c r="T562" s="5">
        <v>261.778671248334</v>
      </c>
    </row>
    <row r="563">
      <c r="A563" s="5">
        <v>561.0</v>
      </c>
      <c r="B563" s="6">
        <v>44396.0</v>
      </c>
      <c r="C563" s="5">
        <v>260.583878756682</v>
      </c>
      <c r="D563" s="5">
        <v>226.794696558876</v>
      </c>
      <c r="E563" s="5">
        <v>303.224855391784</v>
      </c>
      <c r="F563" s="5">
        <v>260.583878756682</v>
      </c>
      <c r="G563" s="5">
        <v>260.583878756682</v>
      </c>
      <c r="H563" s="5">
        <v>5.05192258294588</v>
      </c>
      <c r="I563" s="5">
        <v>5.05192258294588</v>
      </c>
      <c r="J563" s="5">
        <v>5.05192258294588</v>
      </c>
      <c r="K563" s="5">
        <v>1.16457933344963</v>
      </c>
      <c r="L563" s="5">
        <v>1.16457933344963</v>
      </c>
      <c r="M563" s="5">
        <v>1.16457933344963</v>
      </c>
      <c r="N563" s="5">
        <v>3.88734324949625</v>
      </c>
      <c r="O563" s="5">
        <v>3.88734324949625</v>
      </c>
      <c r="P563" s="5">
        <v>3.88734324949625</v>
      </c>
      <c r="Q563" s="5">
        <v>0.0</v>
      </c>
      <c r="R563" s="5">
        <v>0.0</v>
      </c>
      <c r="S563" s="5">
        <v>0.0</v>
      </c>
      <c r="T563" s="5">
        <v>265.635801339628</v>
      </c>
    </row>
    <row r="564">
      <c r="A564" s="5">
        <v>562.0</v>
      </c>
      <c r="B564" s="6">
        <v>44397.0</v>
      </c>
      <c r="C564" s="5">
        <v>260.894556687606</v>
      </c>
      <c r="D564" s="5">
        <v>225.764804111374</v>
      </c>
      <c r="E564" s="5">
        <v>305.644277843138</v>
      </c>
      <c r="F564" s="5">
        <v>260.894556687606</v>
      </c>
      <c r="G564" s="5">
        <v>260.894556687606</v>
      </c>
      <c r="H564" s="5">
        <v>4.3721831944662</v>
      </c>
      <c r="I564" s="5">
        <v>4.3721831944662</v>
      </c>
      <c r="J564" s="5">
        <v>4.3721831944662</v>
      </c>
      <c r="K564" s="5">
        <v>0.247324772137215</v>
      </c>
      <c r="L564" s="5">
        <v>0.247324772137215</v>
      </c>
      <c r="M564" s="5">
        <v>0.247324772137215</v>
      </c>
      <c r="N564" s="5">
        <v>4.12485842232899</v>
      </c>
      <c r="O564" s="5">
        <v>4.12485842232899</v>
      </c>
      <c r="P564" s="5">
        <v>4.12485842232899</v>
      </c>
      <c r="Q564" s="5">
        <v>0.0</v>
      </c>
      <c r="R564" s="5">
        <v>0.0</v>
      </c>
      <c r="S564" s="5">
        <v>0.0</v>
      </c>
      <c r="T564" s="5">
        <v>265.266739882072</v>
      </c>
    </row>
    <row r="565">
      <c r="A565" s="5">
        <v>563.0</v>
      </c>
      <c r="B565" s="6">
        <v>44398.0</v>
      </c>
      <c r="C565" s="5">
        <v>261.205234618531</v>
      </c>
      <c r="D565" s="5">
        <v>225.935757460304</v>
      </c>
      <c r="E565" s="5">
        <v>304.560456155738</v>
      </c>
      <c r="F565" s="5">
        <v>261.205234618531</v>
      </c>
      <c r="G565" s="5">
        <v>261.205234618531</v>
      </c>
      <c r="H565" s="5">
        <v>4.92503201040703</v>
      </c>
      <c r="I565" s="5">
        <v>4.92503201040703</v>
      </c>
      <c r="J565" s="5">
        <v>4.92503201040703</v>
      </c>
      <c r="K565" s="5">
        <v>0.608132553626537</v>
      </c>
      <c r="L565" s="5">
        <v>0.608132553626537</v>
      </c>
      <c r="M565" s="5">
        <v>0.608132553626537</v>
      </c>
      <c r="N565" s="5">
        <v>4.31689945678049</v>
      </c>
      <c r="O565" s="5">
        <v>4.31689945678049</v>
      </c>
      <c r="P565" s="5">
        <v>4.31689945678049</v>
      </c>
      <c r="Q565" s="5">
        <v>0.0</v>
      </c>
      <c r="R565" s="5">
        <v>0.0</v>
      </c>
      <c r="S565" s="5">
        <v>0.0</v>
      </c>
      <c r="T565" s="5">
        <v>266.130266628938</v>
      </c>
    </row>
    <row r="566">
      <c r="A566" s="5">
        <v>564.0</v>
      </c>
      <c r="B566" s="6">
        <v>44399.0</v>
      </c>
      <c r="C566" s="5">
        <v>261.515912549455</v>
      </c>
      <c r="D566" s="5">
        <v>222.670970045953</v>
      </c>
      <c r="E566" s="5">
        <v>308.385287404454</v>
      </c>
      <c r="F566" s="5">
        <v>261.515912549455</v>
      </c>
      <c r="G566" s="5">
        <v>261.515912549455</v>
      </c>
      <c r="H566" s="5">
        <v>4.24293023172898</v>
      </c>
      <c r="I566" s="5">
        <v>4.24293023172898</v>
      </c>
      <c r="J566" s="5">
        <v>4.24293023172898</v>
      </c>
      <c r="K566" s="5">
        <v>-0.225417905344169</v>
      </c>
      <c r="L566" s="5">
        <v>-0.225417905344169</v>
      </c>
      <c r="M566" s="5">
        <v>-0.225417905344169</v>
      </c>
      <c r="N566" s="5">
        <v>4.46834813707315</v>
      </c>
      <c r="O566" s="5">
        <v>4.46834813707315</v>
      </c>
      <c r="P566" s="5">
        <v>4.46834813707315</v>
      </c>
      <c r="Q566" s="5">
        <v>0.0</v>
      </c>
      <c r="R566" s="5">
        <v>0.0</v>
      </c>
      <c r="S566" s="5">
        <v>0.0</v>
      </c>
      <c r="T566" s="5">
        <v>265.758842781184</v>
      </c>
    </row>
    <row r="567">
      <c r="A567" s="5">
        <v>565.0</v>
      </c>
      <c r="B567" s="6">
        <v>44400.0</v>
      </c>
      <c r="C567" s="5">
        <v>261.827037836862</v>
      </c>
      <c r="D567" s="5">
        <v>221.352601691784</v>
      </c>
      <c r="E567" s="5">
        <v>304.536183822752</v>
      </c>
      <c r="F567" s="5">
        <v>261.827037836862</v>
      </c>
      <c r="G567" s="5">
        <v>261.827037836862</v>
      </c>
      <c r="H567" s="5">
        <v>3.84508183220684</v>
      </c>
      <c r="I567" s="5">
        <v>3.84508183220684</v>
      </c>
      <c r="J567" s="5">
        <v>3.84508183220684</v>
      </c>
      <c r="K567" s="5">
        <v>-0.739640081281457</v>
      </c>
      <c r="L567" s="5">
        <v>-0.739640081281457</v>
      </c>
      <c r="M567" s="5">
        <v>-0.739640081281457</v>
      </c>
      <c r="N567" s="5">
        <v>4.5847219134883</v>
      </c>
      <c r="O567" s="5">
        <v>4.5847219134883</v>
      </c>
      <c r="P567" s="5">
        <v>4.5847219134883</v>
      </c>
      <c r="Q567" s="5">
        <v>0.0</v>
      </c>
      <c r="R567" s="5">
        <v>0.0</v>
      </c>
      <c r="S567" s="5">
        <v>0.0</v>
      </c>
      <c r="T567" s="5">
        <v>265.672119669069</v>
      </c>
    </row>
    <row r="568">
      <c r="A568" s="5">
        <v>566.0</v>
      </c>
      <c r="B568" s="6">
        <v>44403.0</v>
      </c>
      <c r="C568" s="5">
        <v>262.760413699083</v>
      </c>
      <c r="D568" s="5">
        <v>228.318881324054</v>
      </c>
      <c r="E568" s="5">
        <v>309.712990105874</v>
      </c>
      <c r="F568" s="5">
        <v>262.760413699083</v>
      </c>
      <c r="G568" s="5">
        <v>262.760413699083</v>
      </c>
      <c r="H568" s="5">
        <v>5.94842849349907</v>
      </c>
      <c r="I568" s="5">
        <v>5.94842849349907</v>
      </c>
      <c r="J568" s="5">
        <v>5.94842849349907</v>
      </c>
      <c r="K568" s="5">
        <v>1.16457933344997</v>
      </c>
      <c r="L568" s="5">
        <v>1.16457933344997</v>
      </c>
      <c r="M568" s="5">
        <v>1.16457933344997</v>
      </c>
      <c r="N568" s="5">
        <v>4.7838491600491</v>
      </c>
      <c r="O568" s="5">
        <v>4.7838491600491</v>
      </c>
      <c r="P568" s="5">
        <v>4.7838491600491</v>
      </c>
      <c r="Q568" s="5">
        <v>0.0</v>
      </c>
      <c r="R568" s="5">
        <v>0.0</v>
      </c>
      <c r="S568" s="5">
        <v>0.0</v>
      </c>
      <c r="T568" s="5">
        <v>268.708842192582</v>
      </c>
    </row>
    <row r="569">
      <c r="A569" s="5">
        <v>567.0</v>
      </c>
      <c r="B569" s="6">
        <v>44404.0</v>
      </c>
      <c r="C569" s="5">
        <v>263.07153898649</v>
      </c>
      <c r="D569" s="5">
        <v>228.214155735991</v>
      </c>
      <c r="E569" s="5">
        <v>309.683761509574</v>
      </c>
      <c r="F569" s="5">
        <v>263.07153898649</v>
      </c>
      <c r="G569" s="5">
        <v>263.07153898649</v>
      </c>
      <c r="H569" s="5">
        <v>5.06802848801004</v>
      </c>
      <c r="I569" s="5">
        <v>5.06802848801004</v>
      </c>
      <c r="J569" s="5">
        <v>5.06802848801004</v>
      </c>
      <c r="K569" s="5">
        <v>0.247324772138726</v>
      </c>
      <c r="L569" s="5">
        <v>0.247324772138726</v>
      </c>
      <c r="M569" s="5">
        <v>0.247324772138726</v>
      </c>
      <c r="N569" s="5">
        <v>4.82070371587131</v>
      </c>
      <c r="O569" s="5">
        <v>4.82070371587131</v>
      </c>
      <c r="P569" s="5">
        <v>4.82070371587131</v>
      </c>
      <c r="Q569" s="5">
        <v>0.0</v>
      </c>
      <c r="R569" s="5">
        <v>0.0</v>
      </c>
      <c r="S569" s="5">
        <v>0.0</v>
      </c>
      <c r="T569" s="5">
        <v>268.1395674745</v>
      </c>
    </row>
    <row r="570">
      <c r="A570" s="5">
        <v>568.0</v>
      </c>
      <c r="B570" s="6">
        <v>44405.0</v>
      </c>
      <c r="C570" s="5">
        <v>263.382664273897</v>
      </c>
      <c r="D570" s="5">
        <v>229.027604313486</v>
      </c>
      <c r="E570" s="5">
        <v>311.148743456705</v>
      </c>
      <c r="F570" s="5">
        <v>263.382664273897</v>
      </c>
      <c r="G570" s="5">
        <v>263.382664273897</v>
      </c>
      <c r="H570" s="5">
        <v>5.46064745509299</v>
      </c>
      <c r="I570" s="5">
        <v>5.46064745509299</v>
      </c>
      <c r="J570" s="5">
        <v>5.46064745509299</v>
      </c>
      <c r="K570" s="5">
        <v>0.608132553628316</v>
      </c>
      <c r="L570" s="5">
        <v>0.608132553628316</v>
      </c>
      <c r="M570" s="5">
        <v>0.608132553628316</v>
      </c>
      <c r="N570" s="5">
        <v>4.85251490146468</v>
      </c>
      <c r="O570" s="5">
        <v>4.85251490146468</v>
      </c>
      <c r="P570" s="5">
        <v>4.85251490146468</v>
      </c>
      <c r="Q570" s="5">
        <v>0.0</v>
      </c>
      <c r="R570" s="5">
        <v>0.0</v>
      </c>
      <c r="S570" s="5">
        <v>0.0</v>
      </c>
      <c r="T570" s="5">
        <v>268.84331172899</v>
      </c>
    </row>
    <row r="571">
      <c r="A571" s="5">
        <v>569.0</v>
      </c>
      <c r="B571" s="6">
        <v>44406.0</v>
      </c>
      <c r="C571" s="5">
        <v>263.693789561304</v>
      </c>
      <c r="D571" s="5">
        <v>228.277456074627</v>
      </c>
      <c r="E571" s="5">
        <v>310.301027383465</v>
      </c>
      <c r="F571" s="5">
        <v>263.693789561304</v>
      </c>
      <c r="G571" s="5">
        <v>263.693789561304</v>
      </c>
      <c r="H571" s="5">
        <v>4.6590162630119</v>
      </c>
      <c r="I571" s="5">
        <v>4.6590162630119</v>
      </c>
      <c r="J571" s="5">
        <v>4.6590162630119</v>
      </c>
      <c r="K571" s="5">
        <v>-0.225417905347134</v>
      </c>
      <c r="L571" s="5">
        <v>-0.225417905347134</v>
      </c>
      <c r="M571" s="5">
        <v>-0.225417905347134</v>
      </c>
      <c r="N571" s="5">
        <v>4.88443416835904</v>
      </c>
      <c r="O571" s="5">
        <v>4.88443416835904</v>
      </c>
      <c r="P571" s="5">
        <v>4.88443416835904</v>
      </c>
      <c r="Q571" s="5">
        <v>0.0</v>
      </c>
      <c r="R571" s="5">
        <v>0.0</v>
      </c>
      <c r="S571" s="5">
        <v>0.0</v>
      </c>
      <c r="T571" s="5">
        <v>268.352805824316</v>
      </c>
    </row>
    <row r="572">
      <c r="A572" s="5">
        <v>570.0</v>
      </c>
      <c r="B572" s="6">
        <v>44407.0</v>
      </c>
      <c r="C572" s="5">
        <v>264.004914848711</v>
      </c>
      <c r="D572" s="5">
        <v>225.956090483971</v>
      </c>
      <c r="E572" s="5">
        <v>308.236468726986</v>
      </c>
      <c r="F572" s="5">
        <v>264.004914848711</v>
      </c>
      <c r="G572" s="5">
        <v>264.004914848711</v>
      </c>
      <c r="H572" s="5">
        <v>4.18131939831138</v>
      </c>
      <c r="I572" s="5">
        <v>4.18131939831138</v>
      </c>
      <c r="J572" s="5">
        <v>4.18131939831138</v>
      </c>
      <c r="K572" s="5">
        <v>-0.739640081280552</v>
      </c>
      <c r="L572" s="5">
        <v>-0.739640081280552</v>
      </c>
      <c r="M572" s="5">
        <v>-0.739640081280552</v>
      </c>
      <c r="N572" s="5">
        <v>4.92095947959194</v>
      </c>
      <c r="O572" s="5">
        <v>4.92095947959194</v>
      </c>
      <c r="P572" s="5">
        <v>4.92095947959194</v>
      </c>
      <c r="Q572" s="5">
        <v>0.0</v>
      </c>
      <c r="R572" s="5">
        <v>0.0</v>
      </c>
      <c r="S572" s="5">
        <v>0.0</v>
      </c>
      <c r="T572" s="5">
        <v>268.186234247022</v>
      </c>
    </row>
    <row r="573">
      <c r="A573" s="5">
        <v>571.0</v>
      </c>
      <c r="B573" s="6">
        <v>44410.0</v>
      </c>
      <c r="C573" s="5">
        <v>264.938290710932</v>
      </c>
      <c r="D573" s="5">
        <v>230.863047190438</v>
      </c>
      <c r="E573" s="5">
        <v>313.088395042567</v>
      </c>
      <c r="F573" s="5">
        <v>264.938290710932</v>
      </c>
      <c r="G573" s="5">
        <v>264.938290710932</v>
      </c>
      <c r="H573" s="5">
        <v>6.25596600348739</v>
      </c>
      <c r="I573" s="5">
        <v>6.25596600348739</v>
      </c>
      <c r="J573" s="5">
        <v>6.25596600348739</v>
      </c>
      <c r="K573" s="5">
        <v>1.1645793334503</v>
      </c>
      <c r="L573" s="5">
        <v>1.1645793334503</v>
      </c>
      <c r="M573" s="5">
        <v>1.1645793334503</v>
      </c>
      <c r="N573" s="5">
        <v>5.09138667003708</v>
      </c>
      <c r="O573" s="5">
        <v>5.09138667003708</v>
      </c>
      <c r="P573" s="5">
        <v>5.09138667003708</v>
      </c>
      <c r="Q573" s="5">
        <v>0.0</v>
      </c>
      <c r="R573" s="5">
        <v>0.0</v>
      </c>
      <c r="S573" s="5">
        <v>0.0</v>
      </c>
      <c r="T573" s="5">
        <v>271.194256714419</v>
      </c>
    </row>
    <row r="574">
      <c r="A574" s="5">
        <v>572.0</v>
      </c>
      <c r="B574" s="6">
        <v>44411.0</v>
      </c>
      <c r="C574" s="5">
        <v>265.249415998339</v>
      </c>
      <c r="D574" s="5">
        <v>229.889885180413</v>
      </c>
      <c r="E574" s="5">
        <v>313.346975722668</v>
      </c>
      <c r="F574" s="5">
        <v>265.249415998339</v>
      </c>
      <c r="G574" s="5">
        <v>265.249415998339</v>
      </c>
      <c r="H574" s="5">
        <v>5.42262009487037</v>
      </c>
      <c r="I574" s="5">
        <v>5.42262009487037</v>
      </c>
      <c r="J574" s="5">
        <v>5.42262009487037</v>
      </c>
      <c r="K574" s="5">
        <v>0.247324772137392</v>
      </c>
      <c r="L574" s="5">
        <v>0.247324772137392</v>
      </c>
      <c r="M574" s="5">
        <v>0.247324772137392</v>
      </c>
      <c r="N574" s="5">
        <v>5.17529532273298</v>
      </c>
      <c r="O574" s="5">
        <v>5.17529532273298</v>
      </c>
      <c r="P574" s="5">
        <v>5.17529532273298</v>
      </c>
      <c r="Q574" s="5">
        <v>0.0</v>
      </c>
      <c r="R574" s="5">
        <v>0.0</v>
      </c>
      <c r="S574" s="5">
        <v>0.0</v>
      </c>
      <c r="T574" s="5">
        <v>270.672036093209</v>
      </c>
    </row>
    <row r="575">
      <c r="A575" s="5">
        <v>573.0</v>
      </c>
      <c r="B575" s="6">
        <v>44412.0</v>
      </c>
      <c r="C575" s="5">
        <v>265.560541285746</v>
      </c>
      <c r="D575" s="5">
        <v>233.794065309917</v>
      </c>
      <c r="E575" s="5">
        <v>309.601611977323</v>
      </c>
      <c r="F575" s="5">
        <v>265.560541285746</v>
      </c>
      <c r="G575" s="5">
        <v>265.560541285746</v>
      </c>
      <c r="H575" s="5">
        <v>5.88216404858624</v>
      </c>
      <c r="I575" s="5">
        <v>5.88216404858624</v>
      </c>
      <c r="J575" s="5">
        <v>5.88216404858624</v>
      </c>
      <c r="K575" s="5">
        <v>0.608132553627426</v>
      </c>
      <c r="L575" s="5">
        <v>0.608132553627426</v>
      </c>
      <c r="M575" s="5">
        <v>0.608132553627426</v>
      </c>
      <c r="N575" s="5">
        <v>5.27403149495881</v>
      </c>
      <c r="O575" s="5">
        <v>5.27403149495881</v>
      </c>
      <c r="P575" s="5">
        <v>5.27403149495881</v>
      </c>
      <c r="Q575" s="5">
        <v>0.0</v>
      </c>
      <c r="R575" s="5">
        <v>0.0</v>
      </c>
      <c r="S575" s="5">
        <v>0.0</v>
      </c>
      <c r="T575" s="5">
        <v>271.442705334332</v>
      </c>
    </row>
    <row r="576">
      <c r="A576" s="5">
        <v>574.0</v>
      </c>
      <c r="B576" s="6">
        <v>44413.0</v>
      </c>
      <c r="C576" s="5">
        <v>265.871666573153</v>
      </c>
      <c r="D576" s="5">
        <v>232.49102460768</v>
      </c>
      <c r="E576" s="5">
        <v>312.535278874241</v>
      </c>
      <c r="F576" s="5">
        <v>265.871666573153</v>
      </c>
      <c r="G576" s="5">
        <v>265.871666573153</v>
      </c>
      <c r="H576" s="5">
        <v>5.16176054201846</v>
      </c>
      <c r="I576" s="5">
        <v>5.16176054201846</v>
      </c>
      <c r="J576" s="5">
        <v>5.16176054201846</v>
      </c>
      <c r="K576" s="5">
        <v>-0.225417905350099</v>
      </c>
      <c r="L576" s="5">
        <v>-0.225417905350099</v>
      </c>
      <c r="M576" s="5">
        <v>-0.225417905350099</v>
      </c>
      <c r="N576" s="5">
        <v>5.38717844736856</v>
      </c>
      <c r="O576" s="5">
        <v>5.38717844736856</v>
      </c>
      <c r="P576" s="5">
        <v>5.38717844736856</v>
      </c>
      <c r="Q576" s="5">
        <v>0.0</v>
      </c>
      <c r="R576" s="5">
        <v>0.0</v>
      </c>
      <c r="S576" s="5">
        <v>0.0</v>
      </c>
      <c r="T576" s="5">
        <v>271.033427115171</v>
      </c>
    </row>
    <row r="577">
      <c r="A577" s="5">
        <v>575.0</v>
      </c>
      <c r="B577" s="6">
        <v>44414.0</v>
      </c>
      <c r="C577" s="5">
        <v>266.18279186056</v>
      </c>
      <c r="D577" s="5">
        <v>229.355210409211</v>
      </c>
      <c r="E577" s="5">
        <v>311.043988570005</v>
      </c>
      <c r="F577" s="5">
        <v>266.18279186056</v>
      </c>
      <c r="G577" s="5">
        <v>266.18279186056</v>
      </c>
      <c r="H577" s="5">
        <v>4.77401208542771</v>
      </c>
      <c r="I577" s="5">
        <v>4.77401208542771</v>
      </c>
      <c r="J577" s="5">
        <v>4.77401208542771</v>
      </c>
      <c r="K577" s="5">
        <v>-0.739640081281708</v>
      </c>
      <c r="L577" s="5">
        <v>-0.739640081281708</v>
      </c>
      <c r="M577" s="5">
        <v>-0.739640081281708</v>
      </c>
      <c r="N577" s="5">
        <v>5.51365216670941</v>
      </c>
      <c r="O577" s="5">
        <v>5.51365216670941</v>
      </c>
      <c r="P577" s="5">
        <v>5.51365216670941</v>
      </c>
      <c r="Q577" s="5">
        <v>0.0</v>
      </c>
      <c r="R577" s="5">
        <v>0.0</v>
      </c>
      <c r="S577" s="5">
        <v>0.0</v>
      </c>
      <c r="T577" s="5">
        <v>270.956803945987</v>
      </c>
    </row>
    <row r="578">
      <c r="A578" s="5">
        <v>576.0</v>
      </c>
      <c r="B578" s="6">
        <v>44417.0</v>
      </c>
      <c r="C578" s="5">
        <v>267.11616772278</v>
      </c>
      <c r="D578" s="5">
        <v>234.460236049276</v>
      </c>
      <c r="E578" s="5">
        <v>313.838813261035</v>
      </c>
      <c r="F578" s="5">
        <v>267.11616772278</v>
      </c>
      <c r="G578" s="5">
        <v>267.11616772278</v>
      </c>
      <c r="H578" s="5">
        <v>7.11946573128603</v>
      </c>
      <c r="I578" s="5">
        <v>7.11946573128603</v>
      </c>
      <c r="J578" s="5">
        <v>7.11946573128603</v>
      </c>
      <c r="K578" s="5">
        <v>1.16457933345053</v>
      </c>
      <c r="L578" s="5">
        <v>1.16457933345053</v>
      </c>
      <c r="M578" s="5">
        <v>1.16457933345053</v>
      </c>
      <c r="N578" s="5">
        <v>5.95488639783549</v>
      </c>
      <c r="O578" s="5">
        <v>5.95488639783549</v>
      </c>
      <c r="P578" s="5">
        <v>5.95488639783549</v>
      </c>
      <c r="Q578" s="5">
        <v>0.0</v>
      </c>
      <c r="R578" s="5">
        <v>0.0</v>
      </c>
      <c r="S578" s="5">
        <v>0.0</v>
      </c>
      <c r="T578" s="5">
        <v>274.235633454066</v>
      </c>
    </row>
    <row r="579">
      <c r="A579" s="5">
        <v>577.0</v>
      </c>
      <c r="B579" s="6">
        <v>44418.0</v>
      </c>
      <c r="C579" s="5">
        <v>267.427293010187</v>
      </c>
      <c r="D579" s="5">
        <v>235.383538968019</v>
      </c>
      <c r="E579" s="5">
        <v>316.947325482913</v>
      </c>
      <c r="F579" s="5">
        <v>267.427293010187</v>
      </c>
      <c r="G579" s="5">
        <v>267.427293010187</v>
      </c>
      <c r="H579" s="5">
        <v>6.36246481920798</v>
      </c>
      <c r="I579" s="5">
        <v>6.36246481920798</v>
      </c>
      <c r="J579" s="5">
        <v>6.36246481920798</v>
      </c>
      <c r="K579" s="5">
        <v>0.247324772138777</v>
      </c>
      <c r="L579" s="5">
        <v>0.247324772138777</v>
      </c>
      <c r="M579" s="5">
        <v>0.247324772138777</v>
      </c>
      <c r="N579" s="5">
        <v>6.1151400470692</v>
      </c>
      <c r="O579" s="5">
        <v>6.1151400470692</v>
      </c>
      <c r="P579" s="5">
        <v>6.1151400470692</v>
      </c>
      <c r="Q579" s="5">
        <v>0.0</v>
      </c>
      <c r="R579" s="5">
        <v>0.0</v>
      </c>
      <c r="S579" s="5">
        <v>0.0</v>
      </c>
      <c r="T579" s="5">
        <v>273.789757829395</v>
      </c>
    </row>
    <row r="580">
      <c r="A580" s="5">
        <v>578.0</v>
      </c>
      <c r="B580" s="6">
        <v>44419.0</v>
      </c>
      <c r="C580" s="5">
        <v>267.738418297594</v>
      </c>
      <c r="D580" s="5">
        <v>233.925714364119</v>
      </c>
      <c r="E580" s="5">
        <v>315.369512844288</v>
      </c>
      <c r="F580" s="5">
        <v>267.738418297594</v>
      </c>
      <c r="G580" s="5">
        <v>267.738418297594</v>
      </c>
      <c r="H580" s="5">
        <v>6.88627807453931</v>
      </c>
      <c r="I580" s="5">
        <v>6.88627807453931</v>
      </c>
      <c r="J580" s="5">
        <v>6.88627807453931</v>
      </c>
      <c r="K580" s="5">
        <v>0.608132553629205</v>
      </c>
      <c r="L580" s="5">
        <v>0.608132553629205</v>
      </c>
      <c r="M580" s="5">
        <v>0.608132553629205</v>
      </c>
      <c r="N580" s="5">
        <v>6.2781455209101</v>
      </c>
      <c r="O580" s="5">
        <v>6.2781455209101</v>
      </c>
      <c r="P580" s="5">
        <v>6.2781455209101</v>
      </c>
      <c r="Q580" s="5">
        <v>0.0</v>
      </c>
      <c r="R580" s="5">
        <v>0.0</v>
      </c>
      <c r="S580" s="5">
        <v>0.0</v>
      </c>
      <c r="T580" s="5">
        <v>274.624696372134</v>
      </c>
    </row>
    <row r="581">
      <c r="A581" s="5">
        <v>579.0</v>
      </c>
      <c r="B581" s="6">
        <v>44420.0</v>
      </c>
      <c r="C581" s="5">
        <v>268.049543585001</v>
      </c>
      <c r="D581" s="5">
        <v>235.009829618636</v>
      </c>
      <c r="E581" s="5">
        <v>311.328274694334</v>
      </c>
      <c r="F581" s="5">
        <v>268.049543585001</v>
      </c>
      <c r="G581" s="5">
        <v>268.049543585001</v>
      </c>
      <c r="H581" s="5">
        <v>6.21645141279617</v>
      </c>
      <c r="I581" s="5">
        <v>6.21645141279617</v>
      </c>
      <c r="J581" s="5">
        <v>6.21645141279617</v>
      </c>
      <c r="K581" s="5">
        <v>-0.225417905349678</v>
      </c>
      <c r="L581" s="5">
        <v>-0.225417905349678</v>
      </c>
      <c r="M581" s="5">
        <v>-0.225417905349678</v>
      </c>
      <c r="N581" s="5">
        <v>6.44186931814585</v>
      </c>
      <c r="O581" s="5">
        <v>6.44186931814585</v>
      </c>
      <c r="P581" s="5">
        <v>6.44186931814585</v>
      </c>
      <c r="Q581" s="5">
        <v>0.0</v>
      </c>
      <c r="R581" s="5">
        <v>0.0</v>
      </c>
      <c r="S581" s="5">
        <v>0.0</v>
      </c>
      <c r="T581" s="5">
        <v>274.265994997798</v>
      </c>
    </row>
    <row r="582">
      <c r="A582" s="5">
        <v>580.0</v>
      </c>
      <c r="B582" s="6">
        <v>44421.0</v>
      </c>
      <c r="C582" s="5">
        <v>268.360668872408</v>
      </c>
      <c r="D582" s="5">
        <v>234.070382554492</v>
      </c>
      <c r="E582" s="5">
        <v>317.735355043786</v>
      </c>
      <c r="F582" s="5">
        <v>268.360668872408</v>
      </c>
      <c r="G582" s="5">
        <v>268.360668872408</v>
      </c>
      <c r="H582" s="5">
        <v>5.86502788469495</v>
      </c>
      <c r="I582" s="5">
        <v>5.86502788469495</v>
      </c>
      <c r="J582" s="5">
        <v>5.86502788469495</v>
      </c>
      <c r="K582" s="5">
        <v>-0.739640081282863</v>
      </c>
      <c r="L582" s="5">
        <v>-0.739640081282863</v>
      </c>
      <c r="M582" s="5">
        <v>-0.739640081282863</v>
      </c>
      <c r="N582" s="5">
        <v>6.60466796597781</v>
      </c>
      <c r="O582" s="5">
        <v>6.60466796597781</v>
      </c>
      <c r="P582" s="5">
        <v>6.60466796597781</v>
      </c>
      <c r="Q582" s="5">
        <v>0.0</v>
      </c>
      <c r="R582" s="5">
        <v>0.0</v>
      </c>
      <c r="S582" s="5">
        <v>0.0</v>
      </c>
      <c r="T582" s="5">
        <v>274.225696757103</v>
      </c>
    </row>
    <row r="583">
      <c r="A583" s="5">
        <v>581.0</v>
      </c>
      <c r="B583" s="6">
        <v>44424.0</v>
      </c>
      <c r="C583" s="5">
        <v>269.294044734629</v>
      </c>
      <c r="D583" s="5">
        <v>237.996422156247</v>
      </c>
      <c r="E583" s="5">
        <v>318.283133748735</v>
      </c>
      <c r="F583" s="5">
        <v>269.294044734629</v>
      </c>
      <c r="G583" s="5">
        <v>269.294044734629</v>
      </c>
      <c r="H583" s="5">
        <v>8.24403445505917</v>
      </c>
      <c r="I583" s="5">
        <v>8.24403445505917</v>
      </c>
      <c r="J583" s="5">
        <v>8.24403445505917</v>
      </c>
      <c r="K583" s="5">
        <v>1.16457933345077</v>
      </c>
      <c r="L583" s="5">
        <v>1.16457933345077</v>
      </c>
      <c r="M583" s="5">
        <v>1.16457933345077</v>
      </c>
      <c r="N583" s="5">
        <v>7.0794551216084</v>
      </c>
      <c r="O583" s="5">
        <v>7.0794551216084</v>
      </c>
      <c r="P583" s="5">
        <v>7.0794551216084</v>
      </c>
      <c r="Q583" s="5">
        <v>0.0</v>
      </c>
      <c r="R583" s="5">
        <v>0.0</v>
      </c>
      <c r="S583" s="5">
        <v>0.0</v>
      </c>
      <c r="T583" s="5">
        <v>277.538079189688</v>
      </c>
    </row>
    <row r="584">
      <c r="A584" s="5">
        <v>582.0</v>
      </c>
      <c r="B584" s="6">
        <v>44425.0</v>
      </c>
      <c r="C584" s="5">
        <v>269.605170022036</v>
      </c>
      <c r="D584" s="5">
        <v>235.234061299084</v>
      </c>
      <c r="E584" s="5">
        <v>316.114913090171</v>
      </c>
      <c r="F584" s="5">
        <v>269.605170022036</v>
      </c>
      <c r="G584" s="5">
        <v>269.605170022036</v>
      </c>
      <c r="H584" s="5">
        <v>7.48120551448693</v>
      </c>
      <c r="I584" s="5">
        <v>7.48120551448693</v>
      </c>
      <c r="J584" s="5">
        <v>7.48120551448693</v>
      </c>
      <c r="K584" s="5">
        <v>0.247324772138866</v>
      </c>
      <c r="L584" s="5">
        <v>0.247324772138866</v>
      </c>
      <c r="M584" s="5">
        <v>0.247324772138866</v>
      </c>
      <c r="N584" s="5">
        <v>7.23388074234807</v>
      </c>
      <c r="O584" s="5">
        <v>7.23388074234807</v>
      </c>
      <c r="P584" s="5">
        <v>7.23388074234807</v>
      </c>
      <c r="Q584" s="5">
        <v>0.0</v>
      </c>
      <c r="R584" s="5">
        <v>0.0</v>
      </c>
      <c r="S584" s="5">
        <v>0.0</v>
      </c>
      <c r="T584" s="5">
        <v>277.086375536523</v>
      </c>
    </row>
    <row r="585">
      <c r="A585" s="5">
        <v>583.0</v>
      </c>
      <c r="B585" s="6">
        <v>44426.0</v>
      </c>
      <c r="C585" s="5">
        <v>269.916295309443</v>
      </c>
      <c r="D585" s="5">
        <v>237.338779156272</v>
      </c>
      <c r="E585" s="5">
        <v>317.905608478735</v>
      </c>
      <c r="F585" s="5">
        <v>269.916295309443</v>
      </c>
      <c r="G585" s="5">
        <v>269.916295309443</v>
      </c>
      <c r="H585" s="5">
        <v>7.99671167398414</v>
      </c>
      <c r="I585" s="5">
        <v>7.99671167398414</v>
      </c>
      <c r="J585" s="5">
        <v>7.99671167398414</v>
      </c>
      <c r="K585" s="5">
        <v>0.608132553624533</v>
      </c>
      <c r="L585" s="5">
        <v>0.608132553624533</v>
      </c>
      <c r="M585" s="5">
        <v>0.608132553624533</v>
      </c>
      <c r="N585" s="5">
        <v>7.38857912035961</v>
      </c>
      <c r="O585" s="5">
        <v>7.38857912035961</v>
      </c>
      <c r="P585" s="5">
        <v>7.38857912035961</v>
      </c>
      <c r="Q585" s="5">
        <v>0.0</v>
      </c>
      <c r="R585" s="5">
        <v>0.0</v>
      </c>
      <c r="S585" s="5">
        <v>0.0</v>
      </c>
      <c r="T585" s="5">
        <v>277.913006983427</v>
      </c>
    </row>
    <row r="586">
      <c r="A586" s="5">
        <v>584.0</v>
      </c>
      <c r="B586" s="6">
        <v>44427.0</v>
      </c>
      <c r="C586" s="5">
        <v>270.22742059685</v>
      </c>
      <c r="D586" s="5">
        <v>234.028137205835</v>
      </c>
      <c r="E586" s="5">
        <v>316.901115098165</v>
      </c>
      <c r="F586" s="5">
        <v>270.22742059685</v>
      </c>
      <c r="G586" s="5">
        <v>270.22742059685</v>
      </c>
      <c r="H586" s="5">
        <v>7.32054332868654</v>
      </c>
      <c r="I586" s="5">
        <v>7.32054332868654</v>
      </c>
      <c r="J586" s="5">
        <v>7.32054332868654</v>
      </c>
      <c r="K586" s="5">
        <v>-0.225417905349257</v>
      </c>
      <c r="L586" s="5">
        <v>-0.225417905349257</v>
      </c>
      <c r="M586" s="5">
        <v>-0.225417905349257</v>
      </c>
      <c r="N586" s="5">
        <v>7.5459612340358</v>
      </c>
      <c r="O586" s="5">
        <v>7.5459612340358</v>
      </c>
      <c r="P586" s="5">
        <v>7.5459612340358</v>
      </c>
      <c r="Q586" s="5">
        <v>0.0</v>
      </c>
      <c r="R586" s="5">
        <v>0.0</v>
      </c>
      <c r="S586" s="5">
        <v>0.0</v>
      </c>
      <c r="T586" s="5">
        <v>277.547963925537</v>
      </c>
    </row>
    <row r="587">
      <c r="A587" s="5">
        <v>585.0</v>
      </c>
      <c r="B587" s="6">
        <v>44428.0</v>
      </c>
      <c r="C587" s="5">
        <v>270.538545884257</v>
      </c>
      <c r="D587" s="5">
        <v>234.530585796771</v>
      </c>
      <c r="E587" s="5">
        <v>317.496303059465</v>
      </c>
      <c r="F587" s="5">
        <v>270.538545884257</v>
      </c>
      <c r="G587" s="5">
        <v>270.538545884257</v>
      </c>
      <c r="H587" s="5">
        <v>6.96945577935648</v>
      </c>
      <c r="I587" s="5">
        <v>6.96945577935648</v>
      </c>
      <c r="J587" s="5">
        <v>6.96945577935648</v>
      </c>
      <c r="K587" s="5">
        <v>-0.739640081280586</v>
      </c>
      <c r="L587" s="5">
        <v>-0.739640081280586</v>
      </c>
      <c r="M587" s="5">
        <v>-0.739640081280586</v>
      </c>
      <c r="N587" s="5">
        <v>7.70909586063706</v>
      </c>
      <c r="O587" s="5">
        <v>7.70909586063706</v>
      </c>
      <c r="P587" s="5">
        <v>7.70909586063706</v>
      </c>
      <c r="Q587" s="5">
        <v>0.0</v>
      </c>
      <c r="R587" s="5">
        <v>0.0</v>
      </c>
      <c r="S587" s="5">
        <v>0.0</v>
      </c>
      <c r="T587" s="5">
        <v>277.508001663614</v>
      </c>
    </row>
    <row r="588">
      <c r="A588" s="5">
        <v>586.0</v>
      </c>
      <c r="B588" s="6">
        <v>44431.0</v>
      </c>
      <c r="C588" s="5">
        <v>271.471921746478</v>
      </c>
      <c r="D588" s="5">
        <v>240.032780815783</v>
      </c>
      <c r="E588" s="5">
        <v>319.517510044447</v>
      </c>
      <c r="F588" s="5">
        <v>271.471921746478</v>
      </c>
      <c r="G588" s="5">
        <v>271.471921746478</v>
      </c>
      <c r="H588" s="5">
        <v>9.43584773857359</v>
      </c>
      <c r="I588" s="5">
        <v>9.43584773857359</v>
      </c>
      <c r="J588" s="5">
        <v>9.43584773857359</v>
      </c>
      <c r="K588" s="5">
        <v>1.1645793334511</v>
      </c>
      <c r="L588" s="5">
        <v>1.1645793334511</v>
      </c>
      <c r="M588" s="5">
        <v>1.1645793334511</v>
      </c>
      <c r="N588" s="5">
        <v>8.27126840512248</v>
      </c>
      <c r="O588" s="5">
        <v>8.27126840512248</v>
      </c>
      <c r="P588" s="5">
        <v>8.27126840512248</v>
      </c>
      <c r="Q588" s="5">
        <v>0.0</v>
      </c>
      <c r="R588" s="5">
        <v>0.0</v>
      </c>
      <c r="S588" s="5">
        <v>0.0</v>
      </c>
      <c r="T588" s="5">
        <v>280.907769485052</v>
      </c>
    </row>
    <row r="589">
      <c r="A589" s="5">
        <v>587.0</v>
      </c>
      <c r="B589" s="6">
        <v>44432.0</v>
      </c>
      <c r="C589" s="5">
        <v>271.783047033885</v>
      </c>
      <c r="D589" s="5">
        <v>240.912971985814</v>
      </c>
      <c r="E589" s="5">
        <v>321.571569295473</v>
      </c>
      <c r="F589" s="5">
        <v>271.783047033885</v>
      </c>
      <c r="G589" s="5">
        <v>271.783047033885</v>
      </c>
      <c r="H589" s="5">
        <v>8.74446880226647</v>
      </c>
      <c r="I589" s="5">
        <v>8.74446880226647</v>
      </c>
      <c r="J589" s="5">
        <v>8.74446880226647</v>
      </c>
      <c r="K589" s="5">
        <v>0.247324772138954</v>
      </c>
      <c r="L589" s="5">
        <v>0.247324772138954</v>
      </c>
      <c r="M589" s="5">
        <v>0.247324772138954</v>
      </c>
      <c r="N589" s="5">
        <v>8.49714403012752</v>
      </c>
      <c r="O589" s="5">
        <v>8.49714403012752</v>
      </c>
      <c r="P589" s="5">
        <v>8.49714403012752</v>
      </c>
      <c r="Q589" s="5">
        <v>0.0</v>
      </c>
      <c r="R589" s="5">
        <v>0.0</v>
      </c>
      <c r="S589" s="5">
        <v>0.0</v>
      </c>
      <c r="T589" s="5">
        <v>280.527515836151</v>
      </c>
    </row>
    <row r="590">
      <c r="A590" s="5">
        <v>588.0</v>
      </c>
      <c r="B590" s="6">
        <v>44433.0</v>
      </c>
      <c r="C590" s="5">
        <v>272.094172321292</v>
      </c>
      <c r="D590" s="5">
        <v>241.599895077828</v>
      </c>
      <c r="E590" s="5">
        <v>321.862026263702</v>
      </c>
      <c r="F590" s="5">
        <v>272.094172321292</v>
      </c>
      <c r="G590" s="5">
        <v>272.094172321292</v>
      </c>
      <c r="H590" s="5">
        <v>9.35761502498476</v>
      </c>
      <c r="I590" s="5">
        <v>9.35761502498476</v>
      </c>
      <c r="J590" s="5">
        <v>9.35761502498476</v>
      </c>
      <c r="K590" s="5">
        <v>0.608132553626312</v>
      </c>
      <c r="L590" s="5">
        <v>0.608132553626312</v>
      </c>
      <c r="M590" s="5">
        <v>0.608132553626312</v>
      </c>
      <c r="N590" s="5">
        <v>8.74948247135844</v>
      </c>
      <c r="O590" s="5">
        <v>8.74948247135844</v>
      </c>
      <c r="P590" s="5">
        <v>8.74948247135844</v>
      </c>
      <c r="Q590" s="5">
        <v>0.0</v>
      </c>
      <c r="R590" s="5">
        <v>0.0</v>
      </c>
      <c r="S590" s="5">
        <v>0.0</v>
      </c>
      <c r="T590" s="5">
        <v>281.451787346277</v>
      </c>
    </row>
    <row r="591">
      <c r="A591" s="5">
        <v>589.0</v>
      </c>
      <c r="B591" s="6">
        <v>44434.0</v>
      </c>
      <c r="C591" s="5">
        <v>272.405297608699</v>
      </c>
      <c r="D591" s="5">
        <v>241.682969566453</v>
      </c>
      <c r="E591" s="5">
        <v>325.4020282723</v>
      </c>
      <c r="F591" s="5">
        <v>272.405297608699</v>
      </c>
      <c r="G591" s="5">
        <v>272.405297608699</v>
      </c>
      <c r="H591" s="5">
        <v>8.80683761798635</v>
      </c>
      <c r="I591" s="5">
        <v>8.80683761798635</v>
      </c>
      <c r="J591" s="5">
        <v>8.80683761798635</v>
      </c>
      <c r="K591" s="5">
        <v>-0.22541790534691</v>
      </c>
      <c r="L591" s="5">
        <v>-0.22541790534691</v>
      </c>
      <c r="M591" s="5">
        <v>-0.22541790534691</v>
      </c>
      <c r="N591" s="5">
        <v>9.03225552333327</v>
      </c>
      <c r="O591" s="5">
        <v>9.03225552333327</v>
      </c>
      <c r="P591" s="5">
        <v>9.03225552333327</v>
      </c>
      <c r="Q591" s="5">
        <v>0.0</v>
      </c>
      <c r="R591" s="5">
        <v>0.0</v>
      </c>
      <c r="S591" s="5">
        <v>0.0</v>
      </c>
      <c r="T591" s="5">
        <v>281.212135226685</v>
      </c>
    </row>
    <row r="592">
      <c r="A592" s="5">
        <v>590.0</v>
      </c>
      <c r="B592" s="6">
        <v>44435.0</v>
      </c>
      <c r="C592" s="5">
        <v>272.716422896106</v>
      </c>
      <c r="D592" s="5">
        <v>240.748102069391</v>
      </c>
      <c r="E592" s="5">
        <v>319.333598791803</v>
      </c>
      <c r="F592" s="5">
        <v>272.716422896106</v>
      </c>
      <c r="G592" s="5">
        <v>272.716422896106</v>
      </c>
      <c r="H592" s="5">
        <v>8.60925865413546</v>
      </c>
      <c r="I592" s="5">
        <v>8.60925865413546</v>
      </c>
      <c r="J592" s="5">
        <v>8.60925865413546</v>
      </c>
      <c r="K592" s="5">
        <v>-0.73964008127831</v>
      </c>
      <c r="L592" s="5">
        <v>-0.73964008127831</v>
      </c>
      <c r="M592" s="5">
        <v>-0.73964008127831</v>
      </c>
      <c r="N592" s="5">
        <v>9.34889873541377</v>
      </c>
      <c r="O592" s="5">
        <v>9.34889873541377</v>
      </c>
      <c r="P592" s="5">
        <v>9.34889873541377</v>
      </c>
      <c r="Q592" s="5">
        <v>0.0</v>
      </c>
      <c r="R592" s="5">
        <v>0.0</v>
      </c>
      <c r="S592" s="5">
        <v>0.0</v>
      </c>
      <c r="T592" s="5">
        <v>281.325681550241</v>
      </c>
    </row>
    <row r="593">
      <c r="A593" s="5">
        <v>591.0</v>
      </c>
      <c r="B593" s="6">
        <v>44438.0</v>
      </c>
      <c r="C593" s="5">
        <v>273.649798758327</v>
      </c>
      <c r="D593" s="5">
        <v>246.948137236945</v>
      </c>
      <c r="E593" s="5">
        <v>325.486488791089</v>
      </c>
      <c r="F593" s="5">
        <v>273.649798758327</v>
      </c>
      <c r="G593" s="5">
        <v>273.649798758327</v>
      </c>
      <c r="H593" s="5">
        <v>11.6886698030023</v>
      </c>
      <c r="I593" s="5">
        <v>11.6886698030023</v>
      </c>
      <c r="J593" s="5">
        <v>11.6886698030023</v>
      </c>
      <c r="K593" s="5">
        <v>1.16457933345144</v>
      </c>
      <c r="L593" s="5">
        <v>1.16457933345144</v>
      </c>
      <c r="M593" s="5">
        <v>1.16457933345144</v>
      </c>
      <c r="N593" s="5">
        <v>10.5240904695509</v>
      </c>
      <c r="O593" s="5">
        <v>10.5240904695509</v>
      </c>
      <c r="P593" s="5">
        <v>10.5240904695509</v>
      </c>
      <c r="Q593" s="5">
        <v>0.0</v>
      </c>
      <c r="R593" s="5">
        <v>0.0</v>
      </c>
      <c r="S593" s="5">
        <v>0.0</v>
      </c>
      <c r="T593" s="5">
        <v>285.338468561329</v>
      </c>
    </row>
    <row r="594">
      <c r="A594" s="5">
        <v>592.0</v>
      </c>
      <c r="B594" s="6">
        <v>44439.0</v>
      </c>
      <c r="C594" s="5">
        <v>273.960924045734</v>
      </c>
      <c r="D594" s="5">
        <v>244.367124667991</v>
      </c>
      <c r="E594" s="5">
        <v>326.247523639619</v>
      </c>
      <c r="F594" s="5">
        <v>273.960924045734</v>
      </c>
      <c r="G594" s="5">
        <v>273.960924045734</v>
      </c>
      <c r="H594" s="5">
        <v>11.240209048982</v>
      </c>
      <c r="I594" s="5">
        <v>11.240209048982</v>
      </c>
      <c r="J594" s="5">
        <v>11.240209048982</v>
      </c>
      <c r="K594" s="5">
        <v>0.247324772137619</v>
      </c>
      <c r="L594" s="5">
        <v>0.247324772137619</v>
      </c>
      <c r="M594" s="5">
        <v>0.247324772137619</v>
      </c>
      <c r="N594" s="5">
        <v>10.9928842768444</v>
      </c>
      <c r="O594" s="5">
        <v>10.9928842768444</v>
      </c>
      <c r="P594" s="5">
        <v>10.9928842768444</v>
      </c>
      <c r="Q594" s="5">
        <v>0.0</v>
      </c>
      <c r="R594" s="5">
        <v>0.0</v>
      </c>
      <c r="S594" s="5">
        <v>0.0</v>
      </c>
      <c r="T594" s="5">
        <v>285.201133094716</v>
      </c>
    </row>
    <row r="595">
      <c r="A595" s="5">
        <v>593.0</v>
      </c>
      <c r="B595" s="6">
        <v>44440.0</v>
      </c>
      <c r="C595" s="5">
        <v>274.272049333141</v>
      </c>
      <c r="D595" s="5">
        <v>246.557188839369</v>
      </c>
      <c r="E595" s="5">
        <v>327.354920204377</v>
      </c>
      <c r="F595" s="5">
        <v>274.272049333141</v>
      </c>
      <c r="G595" s="5">
        <v>274.272049333141</v>
      </c>
      <c r="H595" s="5">
        <v>12.1061331929886</v>
      </c>
      <c r="I595" s="5">
        <v>12.1061331929886</v>
      </c>
      <c r="J595" s="5">
        <v>12.1061331929886</v>
      </c>
      <c r="K595" s="5">
        <v>0.608132553625422</v>
      </c>
      <c r="L595" s="5">
        <v>0.608132553625422</v>
      </c>
      <c r="M595" s="5">
        <v>0.608132553625422</v>
      </c>
      <c r="N595" s="5">
        <v>11.4980006393632</v>
      </c>
      <c r="O595" s="5">
        <v>11.4980006393632</v>
      </c>
      <c r="P595" s="5">
        <v>11.4980006393632</v>
      </c>
      <c r="Q595" s="5">
        <v>0.0</v>
      </c>
      <c r="R595" s="5">
        <v>0.0</v>
      </c>
      <c r="S595" s="5">
        <v>0.0</v>
      </c>
      <c r="T595" s="5">
        <v>286.378182526129</v>
      </c>
    </row>
    <row r="596">
      <c r="A596" s="5">
        <v>594.0</v>
      </c>
      <c r="B596" s="6">
        <v>44441.0</v>
      </c>
      <c r="C596" s="5">
        <v>274.583174620548</v>
      </c>
      <c r="D596" s="5">
        <v>245.086725378729</v>
      </c>
      <c r="E596" s="5">
        <v>324.516489741488</v>
      </c>
      <c r="F596" s="5">
        <v>274.583174620548</v>
      </c>
      <c r="G596" s="5">
        <v>274.583174620548</v>
      </c>
      <c r="H596" s="5">
        <v>11.8105672174059</v>
      </c>
      <c r="I596" s="5">
        <v>11.8105672174059</v>
      </c>
      <c r="J596" s="5">
        <v>11.8105672174059</v>
      </c>
      <c r="K596" s="5">
        <v>-0.225417905349874</v>
      </c>
      <c r="L596" s="5">
        <v>-0.225417905349874</v>
      </c>
      <c r="M596" s="5">
        <v>-0.225417905349874</v>
      </c>
      <c r="N596" s="5">
        <v>12.0359851227558</v>
      </c>
      <c r="O596" s="5">
        <v>12.0359851227558</v>
      </c>
      <c r="P596" s="5">
        <v>12.0359851227558</v>
      </c>
      <c r="Q596" s="5">
        <v>0.0</v>
      </c>
      <c r="R596" s="5">
        <v>0.0</v>
      </c>
      <c r="S596" s="5">
        <v>0.0</v>
      </c>
      <c r="T596" s="5">
        <v>286.393741837954</v>
      </c>
    </row>
    <row r="597">
      <c r="A597" s="5">
        <v>595.0</v>
      </c>
      <c r="B597" s="6">
        <v>44442.0</v>
      </c>
      <c r="C597" s="5">
        <v>274.894299907955</v>
      </c>
      <c r="D597" s="5">
        <v>241.80292685791</v>
      </c>
      <c r="E597" s="5">
        <v>324.202907464306</v>
      </c>
      <c r="F597" s="5">
        <v>274.894299907955</v>
      </c>
      <c r="G597" s="5">
        <v>274.894299907955</v>
      </c>
      <c r="H597" s="5">
        <v>11.8622598568596</v>
      </c>
      <c r="I597" s="5">
        <v>11.8622598568596</v>
      </c>
      <c r="J597" s="5">
        <v>11.8622598568596</v>
      </c>
      <c r="K597" s="5">
        <v>-0.739640081279465</v>
      </c>
      <c r="L597" s="5">
        <v>-0.739640081279465</v>
      </c>
      <c r="M597" s="5">
        <v>-0.739640081279465</v>
      </c>
      <c r="N597" s="5">
        <v>12.6018999381391</v>
      </c>
      <c r="O597" s="5">
        <v>12.6018999381391</v>
      </c>
      <c r="P597" s="5">
        <v>12.6018999381391</v>
      </c>
      <c r="Q597" s="5">
        <v>0.0</v>
      </c>
      <c r="R597" s="5">
        <v>0.0</v>
      </c>
      <c r="S597" s="5">
        <v>0.0</v>
      </c>
      <c r="T597" s="5">
        <v>286.756559764814</v>
      </c>
    </row>
    <row r="598">
      <c r="A598" s="5">
        <v>596.0</v>
      </c>
      <c r="B598" s="6">
        <v>44446.0</v>
      </c>
      <c r="C598" s="5">
        <v>276.138801057583</v>
      </c>
      <c r="D598" s="5">
        <v>250.48400688543</v>
      </c>
      <c r="E598" s="5">
        <v>329.583519648974</v>
      </c>
      <c r="F598" s="5">
        <v>276.138801057583</v>
      </c>
      <c r="G598" s="5">
        <v>276.138801057583</v>
      </c>
      <c r="H598" s="5">
        <v>15.2437269763854</v>
      </c>
      <c r="I598" s="5">
        <v>15.2437269763854</v>
      </c>
      <c r="J598" s="5">
        <v>15.2437269763854</v>
      </c>
      <c r="K598" s="5">
        <v>0.247324772136285</v>
      </c>
      <c r="L598" s="5">
        <v>0.247324772136285</v>
      </c>
      <c r="M598" s="5">
        <v>0.247324772136285</v>
      </c>
      <c r="N598" s="5">
        <v>14.9964022042491</v>
      </c>
      <c r="O598" s="5">
        <v>14.9964022042491</v>
      </c>
      <c r="P598" s="5">
        <v>14.9964022042491</v>
      </c>
      <c r="Q598" s="5">
        <v>0.0</v>
      </c>
      <c r="R598" s="5">
        <v>0.0</v>
      </c>
      <c r="S598" s="5">
        <v>0.0</v>
      </c>
      <c r="T598" s="5">
        <v>291.382528033968</v>
      </c>
    </row>
    <row r="599">
      <c r="A599" s="5">
        <v>597.0</v>
      </c>
      <c r="B599" s="6">
        <v>44447.0</v>
      </c>
      <c r="C599" s="5">
        <v>276.44992634499</v>
      </c>
      <c r="D599" s="5">
        <v>250.286542174239</v>
      </c>
      <c r="E599" s="5">
        <v>335.499883043826</v>
      </c>
      <c r="F599" s="5">
        <v>276.44992634499</v>
      </c>
      <c r="G599" s="5">
        <v>276.44992634499</v>
      </c>
      <c r="H599" s="5">
        <v>16.1878917487657</v>
      </c>
      <c r="I599" s="5">
        <v>16.1878917487657</v>
      </c>
      <c r="J599" s="5">
        <v>16.1878917487657</v>
      </c>
      <c r="K599" s="5">
        <v>0.608132553627201</v>
      </c>
      <c r="L599" s="5">
        <v>0.608132553627201</v>
      </c>
      <c r="M599" s="5">
        <v>0.608132553627201</v>
      </c>
      <c r="N599" s="5">
        <v>15.5797591951385</v>
      </c>
      <c r="O599" s="5">
        <v>15.5797591951385</v>
      </c>
      <c r="P599" s="5">
        <v>15.5797591951385</v>
      </c>
      <c r="Q599" s="5">
        <v>0.0</v>
      </c>
      <c r="R599" s="5">
        <v>0.0</v>
      </c>
      <c r="S599" s="5">
        <v>0.0</v>
      </c>
      <c r="T599" s="5">
        <v>292.637818093755</v>
      </c>
    </row>
    <row r="600">
      <c r="A600" s="5">
        <v>598.0</v>
      </c>
      <c r="B600" s="6">
        <v>44448.0</v>
      </c>
      <c r="C600" s="5">
        <v>276.761051632396</v>
      </c>
      <c r="D600" s="5">
        <v>250.32792128646</v>
      </c>
      <c r="E600" s="5">
        <v>332.431499662686</v>
      </c>
      <c r="F600" s="5">
        <v>276.761051632396</v>
      </c>
      <c r="G600" s="5">
        <v>276.761051632396</v>
      </c>
      <c r="H600" s="5">
        <v>15.9090626276686</v>
      </c>
      <c r="I600" s="5">
        <v>15.9090626276686</v>
      </c>
      <c r="J600" s="5">
        <v>15.9090626276686</v>
      </c>
      <c r="K600" s="5">
        <v>-0.225417905346068</v>
      </c>
      <c r="L600" s="5">
        <v>-0.225417905346068</v>
      </c>
      <c r="M600" s="5">
        <v>-0.225417905346068</v>
      </c>
      <c r="N600" s="5">
        <v>16.1344805330147</v>
      </c>
      <c r="O600" s="5">
        <v>16.1344805330147</v>
      </c>
      <c r="P600" s="5">
        <v>16.1344805330147</v>
      </c>
      <c r="Q600" s="5">
        <v>0.0</v>
      </c>
      <c r="R600" s="5">
        <v>0.0</v>
      </c>
      <c r="S600" s="5">
        <v>0.0</v>
      </c>
      <c r="T600" s="5">
        <v>292.670114260065</v>
      </c>
    </row>
    <row r="601">
      <c r="A601" s="5">
        <v>599.0</v>
      </c>
      <c r="B601" s="6">
        <v>44449.0</v>
      </c>
      <c r="C601" s="5">
        <v>277.072176919803</v>
      </c>
      <c r="D601" s="5">
        <v>251.041340619766</v>
      </c>
      <c r="E601" s="5">
        <v>337.243978696144</v>
      </c>
      <c r="F601" s="5">
        <v>277.072176919803</v>
      </c>
      <c r="G601" s="5">
        <v>277.072176919803</v>
      </c>
      <c r="H601" s="5">
        <v>15.9086686051236</v>
      </c>
      <c r="I601" s="5">
        <v>15.9086686051236</v>
      </c>
      <c r="J601" s="5">
        <v>15.9086686051236</v>
      </c>
      <c r="K601" s="5">
        <v>-0.739640081280621</v>
      </c>
      <c r="L601" s="5">
        <v>-0.739640081280621</v>
      </c>
      <c r="M601" s="5">
        <v>-0.739640081280621</v>
      </c>
      <c r="N601" s="5">
        <v>16.6483086864042</v>
      </c>
      <c r="O601" s="5">
        <v>16.6483086864042</v>
      </c>
      <c r="P601" s="5">
        <v>16.6483086864042</v>
      </c>
      <c r="Q601" s="5">
        <v>0.0</v>
      </c>
      <c r="R601" s="5">
        <v>0.0</v>
      </c>
      <c r="S601" s="5">
        <v>0.0</v>
      </c>
      <c r="T601" s="5">
        <v>292.980845524927</v>
      </c>
    </row>
    <row r="602">
      <c r="A602" s="5">
        <v>600.0</v>
      </c>
      <c r="B602" s="6">
        <v>44452.0</v>
      </c>
      <c r="C602" s="5">
        <v>278.005552782024</v>
      </c>
      <c r="D602" s="5">
        <v>257.521913176176</v>
      </c>
      <c r="E602" s="5">
        <v>337.324780090438</v>
      </c>
      <c r="F602" s="5">
        <v>278.005552782024</v>
      </c>
      <c r="G602" s="5">
        <v>278.005552782024</v>
      </c>
      <c r="H602" s="5">
        <v>18.9868256990826</v>
      </c>
      <c r="I602" s="5">
        <v>18.9868256990826</v>
      </c>
      <c r="J602" s="5">
        <v>18.9868256990826</v>
      </c>
      <c r="K602" s="5">
        <v>1.16457933345029</v>
      </c>
      <c r="L602" s="5">
        <v>1.16457933345029</v>
      </c>
      <c r="M602" s="5">
        <v>1.16457933345029</v>
      </c>
      <c r="N602" s="5">
        <v>17.8222463656323</v>
      </c>
      <c r="O602" s="5">
        <v>17.8222463656323</v>
      </c>
      <c r="P602" s="5">
        <v>17.8222463656323</v>
      </c>
      <c r="Q602" s="5">
        <v>0.0</v>
      </c>
      <c r="R602" s="5">
        <v>0.0</v>
      </c>
      <c r="S602" s="5">
        <v>0.0</v>
      </c>
      <c r="T602" s="5">
        <v>296.992378481107</v>
      </c>
    </row>
    <row r="603">
      <c r="A603" s="5">
        <v>601.0</v>
      </c>
      <c r="B603" s="6">
        <v>44453.0</v>
      </c>
      <c r="C603" s="5">
        <v>278.316678069431</v>
      </c>
      <c r="D603" s="5">
        <v>257.008507537386</v>
      </c>
      <c r="E603" s="5">
        <v>339.351858048183</v>
      </c>
      <c r="F603" s="5">
        <v>278.316678069431</v>
      </c>
      <c r="G603" s="5">
        <v>278.316678069431</v>
      </c>
      <c r="H603" s="5">
        <v>18.3000651461778</v>
      </c>
      <c r="I603" s="5">
        <v>18.3000651461778</v>
      </c>
      <c r="J603" s="5">
        <v>18.3000651461778</v>
      </c>
      <c r="K603" s="5">
        <v>0.247324772139093</v>
      </c>
      <c r="L603" s="5">
        <v>0.247324772139093</v>
      </c>
      <c r="M603" s="5">
        <v>0.247324772139093</v>
      </c>
      <c r="N603" s="5">
        <v>18.0527403740387</v>
      </c>
      <c r="O603" s="5">
        <v>18.0527403740387</v>
      </c>
      <c r="P603" s="5">
        <v>18.0527403740387</v>
      </c>
      <c r="Q603" s="5">
        <v>0.0</v>
      </c>
      <c r="R603" s="5">
        <v>0.0</v>
      </c>
      <c r="S603" s="5">
        <v>0.0</v>
      </c>
      <c r="T603" s="5">
        <v>296.616743215609</v>
      </c>
    </row>
    <row r="604">
      <c r="A604" s="5">
        <v>602.0</v>
      </c>
      <c r="B604" s="6">
        <v>44454.0</v>
      </c>
      <c r="C604" s="5">
        <v>278.627803356838</v>
      </c>
      <c r="D604" s="5">
        <v>260.929393183676</v>
      </c>
      <c r="E604" s="5">
        <v>340.396329481283</v>
      </c>
      <c r="F604" s="5">
        <v>278.627803356838</v>
      </c>
      <c r="G604" s="5">
        <v>278.627803356838</v>
      </c>
      <c r="H604" s="5">
        <v>18.7941753330126</v>
      </c>
      <c r="I604" s="5">
        <v>18.7941753330126</v>
      </c>
      <c r="J604" s="5">
        <v>18.7941753330126</v>
      </c>
      <c r="K604" s="5">
        <v>0.608132553626311</v>
      </c>
      <c r="L604" s="5">
        <v>0.608132553626311</v>
      </c>
      <c r="M604" s="5">
        <v>0.608132553626311</v>
      </c>
      <c r="N604" s="5">
        <v>18.1860427793863</v>
      </c>
      <c r="O604" s="5">
        <v>18.1860427793863</v>
      </c>
      <c r="P604" s="5">
        <v>18.1860427793863</v>
      </c>
      <c r="Q604" s="5">
        <v>0.0</v>
      </c>
      <c r="R604" s="5">
        <v>0.0</v>
      </c>
      <c r="S604" s="5">
        <v>0.0</v>
      </c>
      <c r="T604" s="5">
        <v>297.421978689851</v>
      </c>
    </row>
    <row r="605">
      <c r="A605" s="5">
        <v>603.0</v>
      </c>
      <c r="B605" s="6">
        <v>44455.0</v>
      </c>
      <c r="C605" s="5">
        <v>278.938928644245</v>
      </c>
      <c r="D605" s="5">
        <v>258.389669874049</v>
      </c>
      <c r="E605" s="5">
        <v>340.87072426302</v>
      </c>
      <c r="F605" s="5">
        <v>278.938928644245</v>
      </c>
      <c r="G605" s="5">
        <v>278.938928644245</v>
      </c>
      <c r="H605" s="5">
        <v>17.9887509344377</v>
      </c>
      <c r="I605" s="5">
        <v>17.9887509344377</v>
      </c>
      <c r="J605" s="5">
        <v>17.9887509344377</v>
      </c>
      <c r="K605" s="5">
        <v>-0.225417905349032</v>
      </c>
      <c r="L605" s="5">
        <v>-0.225417905349032</v>
      </c>
      <c r="M605" s="5">
        <v>-0.225417905349032</v>
      </c>
      <c r="N605" s="5">
        <v>18.2141688397868</v>
      </c>
      <c r="O605" s="5">
        <v>18.2141688397868</v>
      </c>
      <c r="P605" s="5">
        <v>18.2141688397868</v>
      </c>
      <c r="Q605" s="5">
        <v>0.0</v>
      </c>
      <c r="R605" s="5">
        <v>0.0</v>
      </c>
      <c r="S605" s="5">
        <v>0.0</v>
      </c>
      <c r="T605" s="5">
        <v>296.927679578683</v>
      </c>
    </row>
    <row r="606">
      <c r="A606" s="5">
        <v>604.0</v>
      </c>
      <c r="B606" s="6">
        <v>44456.0</v>
      </c>
      <c r="C606" s="5">
        <v>279.250053931652</v>
      </c>
      <c r="D606" s="5">
        <v>254.608300142072</v>
      </c>
      <c r="E606" s="5">
        <v>340.405398548053</v>
      </c>
      <c r="F606" s="5">
        <v>279.250053931652</v>
      </c>
      <c r="G606" s="5">
        <v>279.250053931652</v>
      </c>
      <c r="H606" s="5">
        <v>17.3912821462743</v>
      </c>
      <c r="I606" s="5">
        <v>17.3912821462743</v>
      </c>
      <c r="J606" s="5">
        <v>17.3912821462743</v>
      </c>
      <c r="K606" s="5">
        <v>-0.739640081279715</v>
      </c>
      <c r="L606" s="5">
        <v>-0.739640081279715</v>
      </c>
      <c r="M606" s="5">
        <v>-0.739640081279715</v>
      </c>
      <c r="N606" s="5">
        <v>18.130922227554</v>
      </c>
      <c r="O606" s="5">
        <v>18.130922227554</v>
      </c>
      <c r="P606" s="5">
        <v>18.130922227554</v>
      </c>
      <c r="Q606" s="5">
        <v>0.0</v>
      </c>
      <c r="R606" s="5">
        <v>0.0</v>
      </c>
      <c r="S606" s="5">
        <v>0.0</v>
      </c>
      <c r="T606" s="5">
        <v>296.641336077927</v>
      </c>
    </row>
    <row r="607">
      <c r="A607" s="5">
        <v>605.0</v>
      </c>
      <c r="B607" s="6">
        <v>44459.0</v>
      </c>
      <c r="C607" s="5">
        <v>280.18342980281</v>
      </c>
      <c r="D607" s="5">
        <v>258.716768455635</v>
      </c>
      <c r="E607" s="5">
        <v>336.738990417337</v>
      </c>
      <c r="F607" s="5">
        <v>280.18342980281</v>
      </c>
      <c r="G607" s="5">
        <v>280.18342980281</v>
      </c>
      <c r="H607" s="5">
        <v>18.3470609943253</v>
      </c>
      <c r="I607" s="5">
        <v>18.3470609943253</v>
      </c>
      <c r="J607" s="5">
        <v>18.3470609943253</v>
      </c>
      <c r="K607" s="5">
        <v>1.16457933345073</v>
      </c>
      <c r="L607" s="5">
        <v>1.16457933345073</v>
      </c>
      <c r="M607" s="5">
        <v>1.16457933345073</v>
      </c>
      <c r="N607" s="5">
        <v>17.1824816608745</v>
      </c>
      <c r="O607" s="5">
        <v>17.1824816608745</v>
      </c>
      <c r="P607" s="5">
        <v>17.1824816608745</v>
      </c>
      <c r="Q607" s="5">
        <v>0.0</v>
      </c>
      <c r="R607" s="5">
        <v>0.0</v>
      </c>
      <c r="S607" s="5">
        <v>0.0</v>
      </c>
      <c r="T607" s="5">
        <v>298.530490797136</v>
      </c>
    </row>
    <row r="608">
      <c r="A608" s="5">
        <v>606.0</v>
      </c>
      <c r="B608" s="6">
        <v>44460.0</v>
      </c>
      <c r="C608" s="5">
        <v>280.494555093197</v>
      </c>
      <c r="D608" s="5">
        <v>255.863360089078</v>
      </c>
      <c r="E608" s="5">
        <v>335.450025883483</v>
      </c>
      <c r="F608" s="5">
        <v>280.494555093197</v>
      </c>
      <c r="G608" s="5">
        <v>280.494555093197</v>
      </c>
      <c r="H608" s="5">
        <v>16.8822007090638</v>
      </c>
      <c r="I608" s="5">
        <v>16.8822007090638</v>
      </c>
      <c r="J608" s="5">
        <v>16.8822007090638</v>
      </c>
      <c r="K608" s="5">
        <v>0.247324772140604</v>
      </c>
      <c r="L608" s="5">
        <v>0.247324772140604</v>
      </c>
      <c r="M608" s="5">
        <v>0.247324772140604</v>
      </c>
      <c r="N608" s="5">
        <v>16.6348759369232</v>
      </c>
      <c r="O608" s="5">
        <v>16.6348759369232</v>
      </c>
      <c r="P608" s="5">
        <v>16.6348759369232</v>
      </c>
      <c r="Q608" s="5">
        <v>0.0</v>
      </c>
      <c r="R608" s="5">
        <v>0.0</v>
      </c>
      <c r="S608" s="5">
        <v>0.0</v>
      </c>
      <c r="T608" s="5">
        <v>297.37675580226</v>
      </c>
    </row>
    <row r="609">
      <c r="A609" s="5">
        <v>607.0</v>
      </c>
      <c r="B609" s="6">
        <v>44461.0</v>
      </c>
      <c r="C609" s="5">
        <v>280.805680383583</v>
      </c>
      <c r="D609" s="5">
        <v>258.043832520753</v>
      </c>
      <c r="E609" s="5">
        <v>337.589066365353</v>
      </c>
      <c r="F609" s="5">
        <v>280.805680383583</v>
      </c>
      <c r="G609" s="5">
        <v>280.805680383583</v>
      </c>
      <c r="H609" s="5">
        <v>16.5864754157916</v>
      </c>
      <c r="I609" s="5">
        <v>16.5864754157916</v>
      </c>
      <c r="J609" s="5">
        <v>16.5864754157916</v>
      </c>
      <c r="K609" s="5">
        <v>0.608132553626976</v>
      </c>
      <c r="L609" s="5">
        <v>0.608132553626976</v>
      </c>
      <c r="M609" s="5">
        <v>0.608132553626976</v>
      </c>
      <c r="N609" s="5">
        <v>15.9783428621646</v>
      </c>
      <c r="O609" s="5">
        <v>15.9783428621646</v>
      </c>
      <c r="P609" s="5">
        <v>15.9783428621646</v>
      </c>
      <c r="Q609" s="5">
        <v>0.0</v>
      </c>
      <c r="R609" s="5">
        <v>0.0</v>
      </c>
      <c r="S609" s="5">
        <v>0.0</v>
      </c>
      <c r="T609" s="5">
        <v>297.392155799374</v>
      </c>
    </row>
    <row r="610">
      <c r="A610" s="5">
        <v>608.0</v>
      </c>
      <c r="B610" s="6">
        <v>44462.0</v>
      </c>
      <c r="C610" s="5">
        <v>281.116805673969</v>
      </c>
      <c r="D610" s="5">
        <v>256.154333102927</v>
      </c>
      <c r="E610" s="5">
        <v>336.535942064127</v>
      </c>
      <c r="F610" s="5">
        <v>281.116805673969</v>
      </c>
      <c r="G610" s="5">
        <v>281.116805673969</v>
      </c>
      <c r="H610" s="5">
        <v>14.9951915305675</v>
      </c>
      <c r="I610" s="5">
        <v>14.9951915305675</v>
      </c>
      <c r="J610" s="5">
        <v>14.9951915305675</v>
      </c>
      <c r="K610" s="5">
        <v>-0.225417905348611</v>
      </c>
      <c r="L610" s="5">
        <v>-0.225417905348611</v>
      </c>
      <c r="M610" s="5">
        <v>-0.225417905348611</v>
      </c>
      <c r="N610" s="5">
        <v>15.2206094359161</v>
      </c>
      <c r="O610" s="5">
        <v>15.2206094359161</v>
      </c>
      <c r="P610" s="5">
        <v>15.2206094359161</v>
      </c>
      <c r="Q610" s="5">
        <v>0.0</v>
      </c>
      <c r="R610" s="5">
        <v>0.0</v>
      </c>
      <c r="S610" s="5">
        <v>0.0</v>
      </c>
      <c r="T610" s="5">
        <v>296.111997204536</v>
      </c>
    </row>
    <row r="611">
      <c r="A611" s="5">
        <v>609.0</v>
      </c>
      <c r="B611" s="6">
        <v>44463.0</v>
      </c>
      <c r="C611" s="5">
        <v>281.427930964355</v>
      </c>
      <c r="D611" s="5">
        <v>254.615127293244</v>
      </c>
      <c r="E611" s="5">
        <v>336.122157988377</v>
      </c>
      <c r="F611" s="5">
        <v>281.427930964355</v>
      </c>
      <c r="G611" s="5">
        <v>281.427930964355</v>
      </c>
      <c r="H611" s="5">
        <v>13.6320714575424</v>
      </c>
      <c r="I611" s="5">
        <v>13.6320714575424</v>
      </c>
      <c r="J611" s="5">
        <v>13.6320714575424</v>
      </c>
      <c r="K611" s="5">
        <v>-0.739640081277439</v>
      </c>
      <c r="L611" s="5">
        <v>-0.739640081277439</v>
      </c>
      <c r="M611" s="5">
        <v>-0.739640081277439</v>
      </c>
      <c r="N611" s="5">
        <v>14.3717115388198</v>
      </c>
      <c r="O611" s="5">
        <v>14.3717115388198</v>
      </c>
      <c r="P611" s="5">
        <v>14.3717115388198</v>
      </c>
      <c r="Q611" s="5">
        <v>0.0</v>
      </c>
      <c r="R611" s="5">
        <v>0.0</v>
      </c>
      <c r="S611" s="5">
        <v>0.0</v>
      </c>
      <c r="T611" s="5">
        <v>295.060002421897</v>
      </c>
    </row>
    <row r="612">
      <c r="A612" s="5">
        <v>610.0</v>
      </c>
      <c r="B612" s="6">
        <v>44466.0</v>
      </c>
      <c r="C612" s="5">
        <v>282.361306835513</v>
      </c>
      <c r="D612" s="5">
        <v>254.060238471202</v>
      </c>
      <c r="E612" s="5">
        <v>336.427842411882</v>
      </c>
      <c r="F612" s="5">
        <v>282.361306835513</v>
      </c>
      <c r="G612" s="5">
        <v>282.361306835513</v>
      </c>
      <c r="H612" s="5">
        <v>12.5735901276328</v>
      </c>
      <c r="I612" s="5">
        <v>12.5735901276328</v>
      </c>
      <c r="J612" s="5">
        <v>12.5735901276328</v>
      </c>
      <c r="K612" s="5">
        <v>1.16457933345096</v>
      </c>
      <c r="L612" s="5">
        <v>1.16457933345096</v>
      </c>
      <c r="M612" s="5">
        <v>1.16457933345096</v>
      </c>
      <c r="N612" s="5">
        <v>11.4090107941818</v>
      </c>
      <c r="O612" s="5">
        <v>11.4090107941818</v>
      </c>
      <c r="P612" s="5">
        <v>11.4090107941818</v>
      </c>
      <c r="Q612" s="5">
        <v>0.0</v>
      </c>
      <c r="R612" s="5">
        <v>0.0</v>
      </c>
      <c r="S612" s="5">
        <v>0.0</v>
      </c>
      <c r="T612" s="5">
        <v>294.934896963146</v>
      </c>
    </row>
    <row r="613">
      <c r="A613" s="5">
        <v>611.0</v>
      </c>
      <c r="B613" s="6">
        <v>44467.0</v>
      </c>
      <c r="C613" s="5">
        <v>282.672432125899</v>
      </c>
      <c r="D613" s="5">
        <v>251.470434057478</v>
      </c>
      <c r="E613" s="5">
        <v>334.600690156101</v>
      </c>
      <c r="F613" s="5">
        <v>282.672432125899</v>
      </c>
      <c r="G613" s="5">
        <v>282.672432125899</v>
      </c>
      <c r="H613" s="5">
        <v>10.5821000385997</v>
      </c>
      <c r="I613" s="5">
        <v>10.5821000385997</v>
      </c>
      <c r="J613" s="5">
        <v>10.5821000385997</v>
      </c>
      <c r="K613" s="5">
        <v>0.24732477213927</v>
      </c>
      <c r="L613" s="5">
        <v>0.24732477213927</v>
      </c>
      <c r="M613" s="5">
        <v>0.24732477213927</v>
      </c>
      <c r="N613" s="5">
        <v>10.3347752664604</v>
      </c>
      <c r="O613" s="5">
        <v>10.3347752664604</v>
      </c>
      <c r="P613" s="5">
        <v>10.3347752664604</v>
      </c>
      <c r="Q613" s="5">
        <v>0.0</v>
      </c>
      <c r="R613" s="5">
        <v>0.0</v>
      </c>
      <c r="S613" s="5">
        <v>0.0</v>
      </c>
      <c r="T613" s="5">
        <v>293.254532164499</v>
      </c>
    </row>
    <row r="614">
      <c r="A614" s="5">
        <v>612.0</v>
      </c>
      <c r="B614" s="6">
        <v>44468.0</v>
      </c>
      <c r="C614" s="5">
        <v>282.983557416285</v>
      </c>
      <c r="D614" s="5">
        <v>252.812256936078</v>
      </c>
      <c r="E614" s="5">
        <v>335.034371342883</v>
      </c>
      <c r="F614" s="5">
        <v>282.983557416285</v>
      </c>
      <c r="G614" s="5">
        <v>282.983557416285</v>
      </c>
      <c r="H614" s="5">
        <v>9.85434828628833</v>
      </c>
      <c r="I614" s="5">
        <v>9.85434828628833</v>
      </c>
      <c r="J614" s="5">
        <v>9.85434828628833</v>
      </c>
      <c r="K614" s="5">
        <v>0.608132553626086</v>
      </c>
      <c r="L614" s="5">
        <v>0.608132553626086</v>
      </c>
      <c r="M614" s="5">
        <v>0.608132553626086</v>
      </c>
      <c r="N614" s="5">
        <v>9.24621573266225</v>
      </c>
      <c r="O614" s="5">
        <v>9.24621573266225</v>
      </c>
      <c r="P614" s="5">
        <v>9.24621573266225</v>
      </c>
      <c r="Q614" s="5">
        <v>0.0</v>
      </c>
      <c r="R614" s="5">
        <v>0.0</v>
      </c>
      <c r="S614" s="5">
        <v>0.0</v>
      </c>
      <c r="T614" s="5">
        <v>292.837905702573</v>
      </c>
    </row>
    <row r="615">
      <c r="A615" s="5">
        <v>613.0</v>
      </c>
      <c r="B615" s="6">
        <v>44469.0</v>
      </c>
      <c r="C615" s="5">
        <v>283.294682706671</v>
      </c>
      <c r="D615" s="5">
        <v>249.522171263558</v>
      </c>
      <c r="E615" s="5">
        <v>330.278059396027</v>
      </c>
      <c r="F615" s="5">
        <v>283.294682706671</v>
      </c>
      <c r="G615" s="5">
        <v>283.294682706671</v>
      </c>
      <c r="H615" s="5">
        <v>7.93632364713136</v>
      </c>
      <c r="I615" s="5">
        <v>7.93632364713136</v>
      </c>
      <c r="J615" s="5">
        <v>7.93632364713136</v>
      </c>
      <c r="K615" s="5">
        <v>-0.225417905351576</v>
      </c>
      <c r="L615" s="5">
        <v>-0.225417905351576</v>
      </c>
      <c r="M615" s="5">
        <v>-0.225417905351576</v>
      </c>
      <c r="N615" s="5">
        <v>8.16174155248294</v>
      </c>
      <c r="O615" s="5">
        <v>8.16174155248294</v>
      </c>
      <c r="P615" s="5">
        <v>8.16174155248294</v>
      </c>
      <c r="Q615" s="5">
        <v>0.0</v>
      </c>
      <c r="R615" s="5">
        <v>0.0</v>
      </c>
      <c r="S615" s="5">
        <v>0.0</v>
      </c>
      <c r="T615" s="5">
        <v>291.231006353802</v>
      </c>
    </row>
    <row r="616">
      <c r="A616" s="5">
        <v>614.0</v>
      </c>
      <c r="B616" s="6">
        <v>44470.0</v>
      </c>
      <c r="C616" s="5">
        <v>283.605807997057</v>
      </c>
      <c r="D616" s="5">
        <v>245.978985097891</v>
      </c>
      <c r="E616" s="5">
        <v>331.016628712178</v>
      </c>
      <c r="F616" s="5">
        <v>283.605807997057</v>
      </c>
      <c r="G616" s="5">
        <v>283.605807997057</v>
      </c>
      <c r="H616" s="5">
        <v>6.36020761433254</v>
      </c>
      <c r="I616" s="5">
        <v>6.36020761433254</v>
      </c>
      <c r="J616" s="5">
        <v>6.36020761433254</v>
      </c>
      <c r="K616" s="5">
        <v>-0.739640081282026</v>
      </c>
      <c r="L616" s="5">
        <v>-0.739640081282026</v>
      </c>
      <c r="M616" s="5">
        <v>-0.739640081282026</v>
      </c>
      <c r="N616" s="5">
        <v>7.09984769561457</v>
      </c>
      <c r="O616" s="5">
        <v>7.09984769561457</v>
      </c>
      <c r="P616" s="5">
        <v>7.09984769561457</v>
      </c>
      <c r="Q616" s="5">
        <v>0.0</v>
      </c>
      <c r="R616" s="5">
        <v>0.0</v>
      </c>
      <c r="S616" s="5">
        <v>0.0</v>
      </c>
      <c r="T616" s="5">
        <v>289.96601561139</v>
      </c>
    </row>
    <row r="617">
      <c r="A617" s="5">
        <v>615.0</v>
      </c>
      <c r="B617" s="6">
        <v>44473.0</v>
      </c>
      <c r="C617" s="5">
        <v>284.539183868215</v>
      </c>
      <c r="D617" s="5">
        <v>251.423834824837</v>
      </c>
      <c r="E617" s="5">
        <v>330.068837482953</v>
      </c>
      <c r="F617" s="5">
        <v>284.539183868215</v>
      </c>
      <c r="G617" s="5">
        <v>284.539183868215</v>
      </c>
      <c r="H617" s="5">
        <v>5.39141850993274</v>
      </c>
      <c r="I617" s="5">
        <v>5.39141850993274</v>
      </c>
      <c r="J617" s="5">
        <v>5.39141850993274</v>
      </c>
      <c r="K617" s="5">
        <v>1.1645793334513</v>
      </c>
      <c r="L617" s="5">
        <v>1.1645793334513</v>
      </c>
      <c r="M617" s="5">
        <v>1.1645793334513</v>
      </c>
      <c r="N617" s="5">
        <v>4.22683917648144</v>
      </c>
      <c r="O617" s="5">
        <v>4.22683917648144</v>
      </c>
      <c r="P617" s="5">
        <v>4.22683917648144</v>
      </c>
      <c r="Q617" s="5">
        <v>0.0</v>
      </c>
      <c r="R617" s="5">
        <v>0.0</v>
      </c>
      <c r="S617" s="5">
        <v>0.0</v>
      </c>
      <c r="T617" s="5">
        <v>289.930602378148</v>
      </c>
    </row>
    <row r="618">
      <c r="A618" s="5">
        <v>616.0</v>
      </c>
      <c r="B618" s="6">
        <v>44474.0</v>
      </c>
      <c r="C618" s="5">
        <v>284.850309158601</v>
      </c>
      <c r="D618" s="5">
        <v>247.534458204113</v>
      </c>
      <c r="E618" s="5">
        <v>330.882925320149</v>
      </c>
      <c r="F618" s="5">
        <v>284.850309158601</v>
      </c>
      <c r="G618" s="5">
        <v>284.850309158601</v>
      </c>
      <c r="H618" s="5">
        <v>3.67427323226373</v>
      </c>
      <c r="I618" s="5">
        <v>3.67427323226373</v>
      </c>
      <c r="J618" s="5">
        <v>3.67427323226373</v>
      </c>
      <c r="K618" s="5">
        <v>0.247324772137935</v>
      </c>
      <c r="L618" s="5">
        <v>0.247324772137935</v>
      </c>
      <c r="M618" s="5">
        <v>0.247324772137935</v>
      </c>
      <c r="N618" s="5">
        <v>3.42694846012579</v>
      </c>
      <c r="O618" s="5">
        <v>3.42694846012579</v>
      </c>
      <c r="P618" s="5">
        <v>3.42694846012579</v>
      </c>
      <c r="Q618" s="5">
        <v>0.0</v>
      </c>
      <c r="R618" s="5">
        <v>0.0</v>
      </c>
      <c r="S618" s="5">
        <v>0.0</v>
      </c>
      <c r="T618" s="5">
        <v>288.524582390865</v>
      </c>
    </row>
    <row r="619">
      <c r="A619" s="5">
        <v>617.0</v>
      </c>
      <c r="B619" s="6">
        <v>44475.0</v>
      </c>
      <c r="C619" s="5">
        <v>285.161434448987</v>
      </c>
      <c r="D619" s="5">
        <v>246.899561278282</v>
      </c>
      <c r="E619" s="5">
        <v>329.489557703034</v>
      </c>
      <c r="F619" s="5">
        <v>285.161434448987</v>
      </c>
      <c r="G619" s="5">
        <v>285.161434448987</v>
      </c>
      <c r="H619" s="5">
        <v>3.33675519337705</v>
      </c>
      <c r="I619" s="5">
        <v>3.33675519337705</v>
      </c>
      <c r="J619" s="5">
        <v>3.33675519337705</v>
      </c>
      <c r="K619" s="5">
        <v>0.608132553627865</v>
      </c>
      <c r="L619" s="5">
        <v>0.608132553627865</v>
      </c>
      <c r="M619" s="5">
        <v>0.608132553627865</v>
      </c>
      <c r="N619" s="5">
        <v>2.72862263974919</v>
      </c>
      <c r="O619" s="5">
        <v>2.72862263974919</v>
      </c>
      <c r="P619" s="5">
        <v>2.72862263974919</v>
      </c>
      <c r="Q619" s="5">
        <v>0.0</v>
      </c>
      <c r="R619" s="5">
        <v>0.0</v>
      </c>
      <c r="S619" s="5">
        <v>0.0</v>
      </c>
      <c r="T619" s="5">
        <v>288.498189642365</v>
      </c>
    </row>
    <row r="620">
      <c r="A620" s="5">
        <v>618.0</v>
      </c>
      <c r="B620" s="6">
        <v>44476.0</v>
      </c>
      <c r="C620" s="5">
        <v>285.472559739374</v>
      </c>
      <c r="D620" s="5">
        <v>248.614621798712</v>
      </c>
      <c r="E620" s="5">
        <v>328.902970235969</v>
      </c>
      <c r="F620" s="5">
        <v>285.472559739374</v>
      </c>
      <c r="G620" s="5">
        <v>285.472559739374</v>
      </c>
      <c r="H620" s="5">
        <v>1.91688732624031</v>
      </c>
      <c r="I620" s="5">
        <v>1.91688732624031</v>
      </c>
      <c r="J620" s="5">
        <v>1.91688732624031</v>
      </c>
      <c r="K620" s="5">
        <v>-0.225417905351155</v>
      </c>
      <c r="L620" s="5">
        <v>-0.225417905351155</v>
      </c>
      <c r="M620" s="5">
        <v>-0.225417905351155</v>
      </c>
      <c r="N620" s="5">
        <v>2.14230523159146</v>
      </c>
      <c r="O620" s="5">
        <v>2.14230523159146</v>
      </c>
      <c r="P620" s="5">
        <v>2.14230523159146</v>
      </c>
      <c r="Q620" s="5">
        <v>0.0</v>
      </c>
      <c r="R620" s="5">
        <v>0.0</v>
      </c>
      <c r="S620" s="5">
        <v>0.0</v>
      </c>
      <c r="T620" s="5">
        <v>287.389447065614</v>
      </c>
    </row>
    <row r="621">
      <c r="A621" s="5">
        <v>619.0</v>
      </c>
      <c r="B621" s="6">
        <v>44477.0</v>
      </c>
      <c r="C621" s="5">
        <v>285.78368502976</v>
      </c>
      <c r="D621" s="5">
        <v>249.196185407858</v>
      </c>
      <c r="E621" s="5">
        <v>328.10316947298</v>
      </c>
      <c r="F621" s="5">
        <v>285.78368502976</v>
      </c>
      <c r="G621" s="5">
        <v>285.78368502976</v>
      </c>
      <c r="H621" s="5">
        <v>0.936319370632118</v>
      </c>
      <c r="I621" s="5">
        <v>0.936319370632118</v>
      </c>
      <c r="J621" s="5">
        <v>0.936319370632118</v>
      </c>
      <c r="K621" s="5">
        <v>-0.739640081277688</v>
      </c>
      <c r="L621" s="5">
        <v>-0.739640081277688</v>
      </c>
      <c r="M621" s="5">
        <v>-0.739640081277688</v>
      </c>
      <c r="N621" s="5">
        <v>1.6759594519098</v>
      </c>
      <c r="O621" s="5">
        <v>1.6759594519098</v>
      </c>
      <c r="P621" s="5">
        <v>1.6759594519098</v>
      </c>
      <c r="Q621" s="5">
        <v>0.0</v>
      </c>
      <c r="R621" s="5">
        <v>0.0</v>
      </c>
      <c r="S621" s="5">
        <v>0.0</v>
      </c>
      <c r="T621" s="5">
        <v>286.720004400392</v>
      </c>
    </row>
    <row r="622">
      <c r="A622" s="5">
        <v>620.0</v>
      </c>
      <c r="B622" s="6">
        <v>44480.0</v>
      </c>
      <c r="C622" s="5">
        <v>286.717060900918</v>
      </c>
      <c r="D622" s="5">
        <v>249.381711249251</v>
      </c>
      <c r="E622" s="5">
        <v>328.05500165865</v>
      </c>
      <c r="F622" s="5">
        <v>286.717060900918</v>
      </c>
      <c r="G622" s="5">
        <v>286.717060900918</v>
      </c>
      <c r="H622" s="5">
        <v>2.20036517905247</v>
      </c>
      <c r="I622" s="5">
        <v>2.20036517905247</v>
      </c>
      <c r="J622" s="5">
        <v>2.20036517905247</v>
      </c>
      <c r="K622" s="5">
        <v>1.16457933344991</v>
      </c>
      <c r="L622" s="5">
        <v>1.16457933344991</v>
      </c>
      <c r="M622" s="5">
        <v>1.16457933344991</v>
      </c>
      <c r="N622" s="5">
        <v>1.03578584560255</v>
      </c>
      <c r="O622" s="5">
        <v>1.03578584560255</v>
      </c>
      <c r="P622" s="5">
        <v>1.03578584560255</v>
      </c>
      <c r="Q622" s="5">
        <v>0.0</v>
      </c>
      <c r="R622" s="5">
        <v>0.0</v>
      </c>
      <c r="S622" s="5">
        <v>0.0</v>
      </c>
      <c r="T622" s="5">
        <v>288.91742607997</v>
      </c>
    </row>
    <row r="623">
      <c r="A623" s="5">
        <v>621.0</v>
      </c>
      <c r="B623" s="6">
        <v>44481.0</v>
      </c>
      <c r="C623" s="5">
        <v>287.028186191304</v>
      </c>
      <c r="D623" s="5">
        <v>249.362577480115</v>
      </c>
      <c r="E623" s="5">
        <v>329.460297779594</v>
      </c>
      <c r="F623" s="5">
        <v>287.028186191304</v>
      </c>
      <c r="G623" s="5">
        <v>287.028186191304</v>
      </c>
      <c r="H623" s="5">
        <v>1.32168017358197</v>
      </c>
      <c r="I623" s="5">
        <v>1.32168017358197</v>
      </c>
      <c r="J623" s="5">
        <v>1.32168017358197</v>
      </c>
      <c r="K623" s="5">
        <v>0.247324772138024</v>
      </c>
      <c r="L623" s="5">
        <v>0.247324772138024</v>
      </c>
      <c r="M623" s="5">
        <v>0.247324772138024</v>
      </c>
      <c r="N623" s="5">
        <v>1.07435540144394</v>
      </c>
      <c r="O623" s="5">
        <v>1.07435540144394</v>
      </c>
      <c r="P623" s="5">
        <v>1.07435540144394</v>
      </c>
      <c r="Q623" s="5">
        <v>0.0</v>
      </c>
      <c r="R623" s="5">
        <v>0.0</v>
      </c>
      <c r="S623" s="5">
        <v>0.0</v>
      </c>
      <c r="T623" s="5">
        <v>288.349866364886</v>
      </c>
    </row>
    <row r="624">
      <c r="A624" s="5">
        <v>622.0</v>
      </c>
      <c r="B624" s="6">
        <v>44482.0</v>
      </c>
      <c r="C624" s="5">
        <v>287.33931148169</v>
      </c>
      <c r="D624" s="5">
        <v>251.045838582595</v>
      </c>
      <c r="E624" s="5">
        <v>333.570805870274</v>
      </c>
      <c r="F624" s="5">
        <v>287.33931148169</v>
      </c>
      <c r="G624" s="5">
        <v>287.33931148169</v>
      </c>
      <c r="H624" s="5">
        <v>1.83964455892022</v>
      </c>
      <c r="I624" s="5">
        <v>1.83964455892022</v>
      </c>
      <c r="J624" s="5">
        <v>1.83964455892022</v>
      </c>
      <c r="K624" s="5">
        <v>0.608132553624307</v>
      </c>
      <c r="L624" s="5">
        <v>0.608132553624307</v>
      </c>
      <c r="M624" s="5">
        <v>0.608132553624307</v>
      </c>
      <c r="N624" s="5">
        <v>1.23151200529591</v>
      </c>
      <c r="O624" s="5">
        <v>1.23151200529591</v>
      </c>
      <c r="P624" s="5">
        <v>1.23151200529591</v>
      </c>
      <c r="Q624" s="5">
        <v>0.0</v>
      </c>
      <c r="R624" s="5">
        <v>0.0</v>
      </c>
      <c r="S624" s="5">
        <v>0.0</v>
      </c>
      <c r="T624" s="5">
        <v>289.17895604061</v>
      </c>
    </row>
    <row r="625">
      <c r="A625" s="5">
        <v>623.0</v>
      </c>
      <c r="B625" s="6">
        <v>44483.0</v>
      </c>
      <c r="C625" s="5">
        <v>287.650436772076</v>
      </c>
      <c r="D625" s="5">
        <v>246.959727232036</v>
      </c>
      <c r="E625" s="5">
        <v>329.593178924689</v>
      </c>
      <c r="F625" s="5">
        <v>287.650436772076</v>
      </c>
      <c r="G625" s="5">
        <v>287.650436772076</v>
      </c>
      <c r="H625" s="5">
        <v>1.27353150214981</v>
      </c>
      <c r="I625" s="5">
        <v>1.27353150214981</v>
      </c>
      <c r="J625" s="5">
        <v>1.27353150214981</v>
      </c>
      <c r="K625" s="5">
        <v>-0.225417905348808</v>
      </c>
      <c r="L625" s="5">
        <v>-0.225417905348808</v>
      </c>
      <c r="M625" s="5">
        <v>-0.225417905348808</v>
      </c>
      <c r="N625" s="5">
        <v>1.49894940749862</v>
      </c>
      <c r="O625" s="5">
        <v>1.49894940749862</v>
      </c>
      <c r="P625" s="5">
        <v>1.49894940749862</v>
      </c>
      <c r="Q625" s="5">
        <v>0.0</v>
      </c>
      <c r="R625" s="5">
        <v>0.0</v>
      </c>
      <c r="S625" s="5">
        <v>0.0</v>
      </c>
      <c r="T625" s="5">
        <v>288.923968274226</v>
      </c>
    </row>
    <row r="626">
      <c r="A626" s="5">
        <v>624.0</v>
      </c>
      <c r="B626" s="6">
        <v>44484.0</v>
      </c>
      <c r="C626" s="5">
        <v>287.961562062462</v>
      </c>
      <c r="D626" s="5">
        <v>246.892114651787</v>
      </c>
      <c r="E626" s="5">
        <v>326.693970204635</v>
      </c>
      <c r="F626" s="5">
        <v>287.961562062462</v>
      </c>
      <c r="G626" s="5">
        <v>287.961562062462</v>
      </c>
      <c r="H626" s="5">
        <v>1.1264482486376</v>
      </c>
      <c r="I626" s="5">
        <v>1.1264482486376</v>
      </c>
      <c r="J626" s="5">
        <v>1.1264482486376</v>
      </c>
      <c r="K626" s="5">
        <v>-0.739640081282276</v>
      </c>
      <c r="L626" s="5">
        <v>-0.739640081282276</v>
      </c>
      <c r="M626" s="5">
        <v>-0.739640081282276</v>
      </c>
      <c r="N626" s="5">
        <v>1.86608832991988</v>
      </c>
      <c r="O626" s="5">
        <v>1.86608832991988</v>
      </c>
      <c r="P626" s="5">
        <v>1.86608832991988</v>
      </c>
      <c r="Q626" s="5">
        <v>0.0</v>
      </c>
      <c r="R626" s="5">
        <v>0.0</v>
      </c>
      <c r="S626" s="5">
        <v>0.0</v>
      </c>
      <c r="T626" s="5">
        <v>289.0880103111</v>
      </c>
    </row>
    <row r="627">
      <c r="A627" s="5">
        <v>625.0</v>
      </c>
      <c r="B627" s="6">
        <v>44487.0</v>
      </c>
      <c r="C627" s="5">
        <v>288.89493793362</v>
      </c>
      <c r="D627" s="5">
        <v>255.052033886337</v>
      </c>
      <c r="E627" s="5">
        <v>338.299554927171</v>
      </c>
      <c r="F627" s="5">
        <v>288.89493793362</v>
      </c>
      <c r="G627" s="5">
        <v>288.89493793362</v>
      </c>
      <c r="H627" s="5">
        <v>4.59709964703091</v>
      </c>
      <c r="I627" s="5">
        <v>4.59709964703091</v>
      </c>
      <c r="J627" s="5">
        <v>4.59709964703091</v>
      </c>
      <c r="K627" s="5">
        <v>1.16457933345025</v>
      </c>
      <c r="L627" s="5">
        <v>1.16457933345025</v>
      </c>
      <c r="M627" s="5">
        <v>1.16457933345025</v>
      </c>
      <c r="N627" s="5">
        <v>3.43252031358066</v>
      </c>
      <c r="O627" s="5">
        <v>3.43252031358066</v>
      </c>
      <c r="P627" s="5">
        <v>3.43252031358066</v>
      </c>
      <c r="Q627" s="5">
        <v>0.0</v>
      </c>
      <c r="R627" s="5">
        <v>0.0</v>
      </c>
      <c r="S627" s="5">
        <v>0.0</v>
      </c>
      <c r="T627" s="5">
        <v>293.492037580651</v>
      </c>
    </row>
    <row r="628">
      <c r="A628" s="5">
        <v>626.0</v>
      </c>
      <c r="B628" s="6">
        <v>44488.0</v>
      </c>
      <c r="C628" s="5">
        <v>289.206063224006</v>
      </c>
      <c r="D628" s="5">
        <v>255.445678827166</v>
      </c>
      <c r="E628" s="5">
        <v>334.22120536649</v>
      </c>
      <c r="F628" s="5">
        <v>289.206063224006</v>
      </c>
      <c r="G628" s="5">
        <v>289.206063224006</v>
      </c>
      <c r="H628" s="5">
        <v>4.30612531566856</v>
      </c>
      <c r="I628" s="5">
        <v>4.30612531566856</v>
      </c>
      <c r="J628" s="5">
        <v>4.30612531566856</v>
      </c>
      <c r="K628" s="5">
        <v>0.247324772137987</v>
      </c>
      <c r="L628" s="5">
        <v>0.247324772137987</v>
      </c>
      <c r="M628" s="5">
        <v>0.247324772137987</v>
      </c>
      <c r="N628" s="5">
        <v>4.05880054353057</v>
      </c>
      <c r="O628" s="5">
        <v>4.05880054353057</v>
      </c>
      <c r="P628" s="5">
        <v>4.05880054353057</v>
      </c>
      <c r="Q628" s="5">
        <v>0.0</v>
      </c>
      <c r="R628" s="5">
        <v>0.0</v>
      </c>
      <c r="S628" s="5">
        <v>0.0</v>
      </c>
      <c r="T628" s="5">
        <v>293.512188539675</v>
      </c>
    </row>
    <row r="629">
      <c r="A629" s="5">
        <v>627.0</v>
      </c>
      <c r="B629" s="6">
        <v>44489.0</v>
      </c>
      <c r="C629" s="5">
        <v>289.517188514392</v>
      </c>
      <c r="D629" s="5">
        <v>257.330864067304</v>
      </c>
      <c r="E629" s="5">
        <v>337.725889325671</v>
      </c>
      <c r="F629" s="5">
        <v>289.517188514392</v>
      </c>
      <c r="G629" s="5">
        <v>289.517188514392</v>
      </c>
      <c r="H629" s="5">
        <v>5.31809490487664</v>
      </c>
      <c r="I629" s="5">
        <v>5.31809490487664</v>
      </c>
      <c r="J629" s="5">
        <v>5.31809490487664</v>
      </c>
      <c r="K629" s="5">
        <v>0.608132553626085</v>
      </c>
      <c r="L629" s="5">
        <v>0.608132553626085</v>
      </c>
      <c r="M629" s="5">
        <v>0.608132553626085</v>
      </c>
      <c r="N629" s="5">
        <v>4.70996235125055</v>
      </c>
      <c r="O629" s="5">
        <v>4.70996235125055</v>
      </c>
      <c r="P629" s="5">
        <v>4.70996235125055</v>
      </c>
      <c r="Q629" s="5">
        <v>0.0</v>
      </c>
      <c r="R629" s="5">
        <v>0.0</v>
      </c>
      <c r="S629" s="5">
        <v>0.0</v>
      </c>
      <c r="T629" s="5">
        <v>294.835283419269</v>
      </c>
    </row>
    <row r="630">
      <c r="A630" s="5">
        <v>628.0</v>
      </c>
      <c r="B630" s="6">
        <v>44490.0</v>
      </c>
      <c r="C630" s="5">
        <v>289.828313804779</v>
      </c>
      <c r="D630" s="5">
        <v>256.133836792588</v>
      </c>
      <c r="E630" s="5">
        <v>335.399800441717</v>
      </c>
      <c r="F630" s="5">
        <v>289.828313804779</v>
      </c>
      <c r="G630" s="5">
        <v>289.828313804779</v>
      </c>
      <c r="H630" s="5">
        <v>5.14416306213598</v>
      </c>
      <c r="I630" s="5">
        <v>5.14416306213598</v>
      </c>
      <c r="J630" s="5">
        <v>5.14416306213598</v>
      </c>
      <c r="K630" s="5">
        <v>-0.225417905348387</v>
      </c>
      <c r="L630" s="5">
        <v>-0.225417905348387</v>
      </c>
      <c r="M630" s="5">
        <v>-0.225417905348387</v>
      </c>
      <c r="N630" s="5">
        <v>5.36958096748437</v>
      </c>
      <c r="O630" s="5">
        <v>5.36958096748437</v>
      </c>
      <c r="P630" s="5">
        <v>5.36958096748437</v>
      </c>
      <c r="Q630" s="5">
        <v>0.0</v>
      </c>
      <c r="R630" s="5">
        <v>0.0</v>
      </c>
      <c r="S630" s="5">
        <v>0.0</v>
      </c>
      <c r="T630" s="5">
        <v>294.972476866915</v>
      </c>
    </row>
    <row r="631">
      <c r="A631" s="5">
        <v>629.0</v>
      </c>
      <c r="B631" s="6">
        <v>44491.0</v>
      </c>
      <c r="C631" s="5">
        <v>290.139439095165</v>
      </c>
      <c r="D631" s="5">
        <v>255.479461798359</v>
      </c>
      <c r="E631" s="5">
        <v>338.921152479714</v>
      </c>
      <c r="F631" s="5">
        <v>290.139439095165</v>
      </c>
      <c r="G631" s="5">
        <v>290.139439095165</v>
      </c>
      <c r="H631" s="5">
        <v>5.28214405171765</v>
      </c>
      <c r="I631" s="5">
        <v>5.28214405171765</v>
      </c>
      <c r="J631" s="5">
        <v>5.28214405171765</v>
      </c>
      <c r="K631" s="5">
        <v>-0.73964008128</v>
      </c>
      <c r="L631" s="5">
        <v>-0.73964008128</v>
      </c>
      <c r="M631" s="5">
        <v>-0.73964008128</v>
      </c>
      <c r="N631" s="5">
        <v>6.02178413299765</v>
      </c>
      <c r="O631" s="5">
        <v>6.02178413299765</v>
      </c>
      <c r="P631" s="5">
        <v>6.02178413299765</v>
      </c>
      <c r="Q631" s="5">
        <v>0.0</v>
      </c>
      <c r="R631" s="5">
        <v>0.0</v>
      </c>
      <c r="S631" s="5">
        <v>0.0</v>
      </c>
      <c r="T631" s="5">
        <v>295.421583146882</v>
      </c>
    </row>
    <row r="632">
      <c r="A632" s="5">
        <v>630.0</v>
      </c>
      <c r="B632" s="6">
        <v>44494.0</v>
      </c>
      <c r="C632" s="5">
        <v>291.072814966323</v>
      </c>
      <c r="D632" s="5">
        <v>259.395726714754</v>
      </c>
      <c r="E632" s="5">
        <v>338.761034986824</v>
      </c>
      <c r="F632" s="5">
        <v>291.072814966323</v>
      </c>
      <c r="G632" s="5">
        <v>291.072814966323</v>
      </c>
      <c r="H632" s="5">
        <v>8.95680581380061</v>
      </c>
      <c r="I632" s="5">
        <v>8.95680581380061</v>
      </c>
      <c r="J632" s="5">
        <v>8.95680581380061</v>
      </c>
      <c r="K632" s="5">
        <v>1.16457933345058</v>
      </c>
      <c r="L632" s="5">
        <v>1.16457933345058</v>
      </c>
      <c r="M632" s="5">
        <v>1.16457933345058</v>
      </c>
      <c r="N632" s="5">
        <v>7.79222648035002</v>
      </c>
      <c r="O632" s="5">
        <v>7.79222648035002</v>
      </c>
      <c r="P632" s="5">
        <v>7.79222648035002</v>
      </c>
      <c r="Q632" s="5">
        <v>0.0</v>
      </c>
      <c r="R632" s="5">
        <v>0.0</v>
      </c>
      <c r="S632" s="5">
        <v>0.0</v>
      </c>
      <c r="T632" s="5">
        <v>300.029620780123</v>
      </c>
    </row>
    <row r="633">
      <c r="A633" s="5">
        <v>631.0</v>
      </c>
      <c r="B633" s="6">
        <v>44495.0</v>
      </c>
      <c r="C633" s="5">
        <v>291.383940256709</v>
      </c>
      <c r="D633" s="5">
        <v>261.570938694449</v>
      </c>
      <c r="E633" s="5">
        <v>343.303576437862</v>
      </c>
      <c r="F633" s="5">
        <v>291.383940256709</v>
      </c>
      <c r="G633" s="5">
        <v>291.383940256709</v>
      </c>
      <c r="H633" s="5">
        <v>8.52867135337552</v>
      </c>
      <c r="I633" s="5">
        <v>8.52867135337552</v>
      </c>
      <c r="J633" s="5">
        <v>8.52867135337552</v>
      </c>
      <c r="K633" s="5">
        <v>0.247324772139498</v>
      </c>
      <c r="L633" s="5">
        <v>0.247324772139498</v>
      </c>
      <c r="M633" s="5">
        <v>0.247324772139498</v>
      </c>
      <c r="N633" s="5">
        <v>8.28134658123602</v>
      </c>
      <c r="O633" s="5">
        <v>8.28134658123602</v>
      </c>
      <c r="P633" s="5">
        <v>8.28134658123602</v>
      </c>
      <c r="Q633" s="5">
        <v>0.0</v>
      </c>
      <c r="R633" s="5">
        <v>0.0</v>
      </c>
      <c r="S633" s="5">
        <v>0.0</v>
      </c>
      <c r="T633" s="5">
        <v>299.912611610084</v>
      </c>
    </row>
    <row r="634">
      <c r="A634" s="5">
        <v>632.0</v>
      </c>
      <c r="B634" s="6">
        <v>44496.0</v>
      </c>
      <c r="C634" s="5">
        <v>291.695065547095</v>
      </c>
      <c r="D634" s="5">
        <v>260.088290992093</v>
      </c>
      <c r="E634" s="5">
        <v>338.798680058748</v>
      </c>
      <c r="F634" s="5">
        <v>291.695065547095</v>
      </c>
      <c r="G634" s="5">
        <v>291.695065547095</v>
      </c>
      <c r="H634" s="5">
        <v>9.31377405850989</v>
      </c>
      <c r="I634" s="5">
        <v>9.31377405850989</v>
      </c>
      <c r="J634" s="5">
        <v>9.31377405850989</v>
      </c>
      <c r="K634" s="5">
        <v>0.608132553627864</v>
      </c>
      <c r="L634" s="5">
        <v>0.608132553627864</v>
      </c>
      <c r="M634" s="5">
        <v>0.608132553627864</v>
      </c>
      <c r="N634" s="5">
        <v>8.70564150488202</v>
      </c>
      <c r="O634" s="5">
        <v>8.70564150488202</v>
      </c>
      <c r="P634" s="5">
        <v>8.70564150488202</v>
      </c>
      <c r="Q634" s="5">
        <v>0.0</v>
      </c>
      <c r="R634" s="5">
        <v>0.0</v>
      </c>
      <c r="S634" s="5">
        <v>0.0</v>
      </c>
      <c r="T634" s="5">
        <v>301.008839605605</v>
      </c>
    </row>
    <row r="635">
      <c r="A635" s="5">
        <v>633.0</v>
      </c>
      <c r="B635" s="6">
        <v>44497.0</v>
      </c>
      <c r="C635" s="5">
        <v>292.006190837481</v>
      </c>
      <c r="D635" s="5">
        <v>259.952228648901</v>
      </c>
      <c r="E635" s="5">
        <v>339.506670007368</v>
      </c>
      <c r="F635" s="5">
        <v>292.006190837481</v>
      </c>
      <c r="G635" s="5">
        <v>292.006190837481</v>
      </c>
      <c r="H635" s="5">
        <v>8.83466604183423</v>
      </c>
      <c r="I635" s="5">
        <v>8.83466604183423</v>
      </c>
      <c r="J635" s="5">
        <v>8.83466604183423</v>
      </c>
      <c r="K635" s="5">
        <v>-0.225417905347966</v>
      </c>
      <c r="L635" s="5">
        <v>-0.225417905347966</v>
      </c>
      <c r="M635" s="5">
        <v>-0.225417905347966</v>
      </c>
      <c r="N635" s="5">
        <v>9.0600839471822</v>
      </c>
      <c r="O635" s="5">
        <v>9.0600839471822</v>
      </c>
      <c r="P635" s="5">
        <v>9.0600839471822</v>
      </c>
      <c r="Q635" s="5">
        <v>0.0</v>
      </c>
      <c r="R635" s="5">
        <v>0.0</v>
      </c>
      <c r="S635" s="5">
        <v>0.0</v>
      </c>
      <c r="T635" s="5">
        <v>300.840856879315</v>
      </c>
    </row>
    <row r="636">
      <c r="A636" s="5">
        <v>634.0</v>
      </c>
      <c r="B636" s="6">
        <v>44498.0</v>
      </c>
      <c r="C636" s="5">
        <v>292.317316127867</v>
      </c>
      <c r="D636" s="5">
        <v>258.100867751201</v>
      </c>
      <c r="E636" s="5">
        <v>342.461594968232</v>
      </c>
      <c r="F636" s="5">
        <v>292.317316127867</v>
      </c>
      <c r="G636" s="5">
        <v>292.317316127867</v>
      </c>
      <c r="H636" s="5">
        <v>8.60255171524923</v>
      </c>
      <c r="I636" s="5">
        <v>8.60255171524923</v>
      </c>
      <c r="J636" s="5">
        <v>8.60255171524923</v>
      </c>
      <c r="K636" s="5">
        <v>-0.739640081281155</v>
      </c>
      <c r="L636" s="5">
        <v>-0.739640081281155</v>
      </c>
      <c r="M636" s="5">
        <v>-0.739640081281155</v>
      </c>
      <c r="N636" s="5">
        <v>9.34219179653039</v>
      </c>
      <c r="O636" s="5">
        <v>9.34219179653039</v>
      </c>
      <c r="P636" s="5">
        <v>9.34219179653039</v>
      </c>
      <c r="Q636" s="5">
        <v>0.0</v>
      </c>
      <c r="R636" s="5">
        <v>0.0</v>
      </c>
      <c r="S636" s="5">
        <v>0.0</v>
      </c>
      <c r="T636" s="5">
        <v>300.919867843116</v>
      </c>
    </row>
    <row r="637">
      <c r="A637" s="5">
        <v>635.0</v>
      </c>
      <c r="B637" s="6">
        <v>44501.0</v>
      </c>
      <c r="C637" s="5">
        <v>293.250691999025</v>
      </c>
      <c r="D637" s="5">
        <v>262.786662858808</v>
      </c>
      <c r="E637" s="5">
        <v>343.766813544681</v>
      </c>
      <c r="F637" s="5">
        <v>293.250691999025</v>
      </c>
      <c r="G637" s="5">
        <v>293.250691999025</v>
      </c>
      <c r="H637" s="5">
        <v>10.9323790159077</v>
      </c>
      <c r="I637" s="5">
        <v>10.9323790159077</v>
      </c>
      <c r="J637" s="5">
        <v>10.9323790159077</v>
      </c>
      <c r="K637" s="5">
        <v>1.16457933345092</v>
      </c>
      <c r="L637" s="5">
        <v>1.16457933345092</v>
      </c>
      <c r="M637" s="5">
        <v>1.16457933345092</v>
      </c>
      <c r="N637" s="5">
        <v>9.76779968245681</v>
      </c>
      <c r="O637" s="5">
        <v>9.76779968245681</v>
      </c>
      <c r="P637" s="5">
        <v>9.76779968245681</v>
      </c>
      <c r="Q637" s="5">
        <v>0.0</v>
      </c>
      <c r="R637" s="5">
        <v>0.0</v>
      </c>
      <c r="S637" s="5">
        <v>0.0</v>
      </c>
      <c r="T637" s="5">
        <v>304.183071014933</v>
      </c>
    </row>
    <row r="638">
      <c r="A638" s="5">
        <v>636.0</v>
      </c>
      <c r="B638" s="6">
        <v>44502.0</v>
      </c>
      <c r="C638" s="5">
        <v>293.561817289411</v>
      </c>
      <c r="D638" s="5">
        <v>262.038894461228</v>
      </c>
      <c r="E638" s="5">
        <v>344.096865247308</v>
      </c>
      <c r="F638" s="5">
        <v>293.561817289411</v>
      </c>
      <c r="G638" s="5">
        <v>293.561817289411</v>
      </c>
      <c r="H638" s="5">
        <v>10.0331611877026</v>
      </c>
      <c r="I638" s="5">
        <v>10.0331611877026</v>
      </c>
      <c r="J638" s="5">
        <v>10.0331611877026</v>
      </c>
      <c r="K638" s="5">
        <v>0.247324772138163</v>
      </c>
      <c r="L638" s="5">
        <v>0.247324772138163</v>
      </c>
      <c r="M638" s="5">
        <v>0.247324772138163</v>
      </c>
      <c r="N638" s="5">
        <v>9.78583641556448</v>
      </c>
      <c r="O638" s="5">
        <v>9.78583641556448</v>
      </c>
      <c r="P638" s="5">
        <v>9.78583641556448</v>
      </c>
      <c r="Q638" s="5">
        <v>0.0</v>
      </c>
      <c r="R638" s="5">
        <v>0.0</v>
      </c>
      <c r="S638" s="5">
        <v>0.0</v>
      </c>
      <c r="T638" s="5">
        <v>303.594978477114</v>
      </c>
    </row>
    <row r="639">
      <c r="A639" s="5">
        <v>637.0</v>
      </c>
      <c r="B639" s="6">
        <v>44503.0</v>
      </c>
      <c r="C639" s="5">
        <v>293.872942579797</v>
      </c>
      <c r="D639" s="5">
        <v>265.542893936956</v>
      </c>
      <c r="E639" s="5">
        <v>342.96539497607</v>
      </c>
      <c r="F639" s="5">
        <v>293.872942579797</v>
      </c>
      <c r="G639" s="5">
        <v>293.872942579797</v>
      </c>
      <c r="H639" s="5">
        <v>10.3635812756392</v>
      </c>
      <c r="I639" s="5">
        <v>10.3635812756392</v>
      </c>
      <c r="J639" s="5">
        <v>10.3635812756392</v>
      </c>
      <c r="K639" s="5">
        <v>0.608132553626975</v>
      </c>
      <c r="L639" s="5">
        <v>0.608132553626975</v>
      </c>
      <c r="M639" s="5">
        <v>0.608132553626975</v>
      </c>
      <c r="N639" s="5">
        <v>9.75544872201231</v>
      </c>
      <c r="O639" s="5">
        <v>9.75544872201231</v>
      </c>
      <c r="P639" s="5">
        <v>9.75544872201231</v>
      </c>
      <c r="Q639" s="5">
        <v>0.0</v>
      </c>
      <c r="R639" s="5">
        <v>0.0</v>
      </c>
      <c r="S639" s="5">
        <v>0.0</v>
      </c>
      <c r="T639" s="5">
        <v>304.236523855437</v>
      </c>
    </row>
    <row r="640">
      <c r="A640" s="5">
        <v>638.0</v>
      </c>
      <c r="B640" s="6">
        <v>44504.0</v>
      </c>
      <c r="C640" s="5">
        <v>294.184067870183</v>
      </c>
      <c r="D640" s="5">
        <v>261.8139900223</v>
      </c>
      <c r="E640" s="5">
        <v>345.212608088879</v>
      </c>
      <c r="F640" s="5">
        <v>294.184067870183</v>
      </c>
      <c r="G640" s="5">
        <v>294.184067870183</v>
      </c>
      <c r="H640" s="5">
        <v>9.46188836191562</v>
      </c>
      <c r="I640" s="5">
        <v>9.46188836191562</v>
      </c>
      <c r="J640" s="5">
        <v>9.46188836191562</v>
      </c>
      <c r="K640" s="5">
        <v>-0.225417905345619</v>
      </c>
      <c r="L640" s="5">
        <v>-0.225417905345619</v>
      </c>
      <c r="M640" s="5">
        <v>-0.225417905345619</v>
      </c>
      <c r="N640" s="5">
        <v>9.68730626726124</v>
      </c>
      <c r="O640" s="5">
        <v>9.68730626726124</v>
      </c>
      <c r="P640" s="5">
        <v>9.68730626726124</v>
      </c>
      <c r="Q640" s="5">
        <v>0.0</v>
      </c>
      <c r="R640" s="5">
        <v>0.0</v>
      </c>
      <c r="S640" s="5">
        <v>0.0</v>
      </c>
      <c r="T640" s="5">
        <v>303.645956232099</v>
      </c>
    </row>
    <row r="641">
      <c r="A641" s="5">
        <v>639.0</v>
      </c>
      <c r="B641" s="6">
        <v>44505.0</v>
      </c>
      <c r="C641" s="5">
        <v>294.495193160569</v>
      </c>
      <c r="D641" s="5">
        <v>261.017788936361</v>
      </c>
      <c r="E641" s="5">
        <v>342.840136119797</v>
      </c>
      <c r="F641" s="5">
        <v>294.495193160569</v>
      </c>
      <c r="G641" s="5">
        <v>294.495193160569</v>
      </c>
      <c r="H641" s="5">
        <v>8.85365603484801</v>
      </c>
      <c r="I641" s="5">
        <v>8.85365603484801</v>
      </c>
      <c r="J641" s="5">
        <v>8.85365603484801</v>
      </c>
      <c r="K641" s="5">
        <v>-0.739640081282311</v>
      </c>
      <c r="L641" s="5">
        <v>-0.739640081282311</v>
      </c>
      <c r="M641" s="5">
        <v>-0.739640081282311</v>
      </c>
      <c r="N641" s="5">
        <v>9.59329611613032</v>
      </c>
      <c r="O641" s="5">
        <v>9.59329611613032</v>
      </c>
      <c r="P641" s="5">
        <v>9.59329611613032</v>
      </c>
      <c r="Q641" s="5">
        <v>0.0</v>
      </c>
      <c r="R641" s="5">
        <v>0.0</v>
      </c>
      <c r="S641" s="5">
        <v>0.0</v>
      </c>
      <c r="T641" s="5">
        <v>303.348849195417</v>
      </c>
    </row>
    <row r="642">
      <c r="A642" s="5">
        <v>640.0</v>
      </c>
      <c r="B642" s="6">
        <v>44508.0</v>
      </c>
      <c r="C642" s="5">
        <v>295.428569031728</v>
      </c>
      <c r="D642" s="5">
        <v>268.255763927669</v>
      </c>
      <c r="E642" s="5">
        <v>345.674278700859</v>
      </c>
      <c r="F642" s="5">
        <v>295.428569031728</v>
      </c>
      <c r="G642" s="5">
        <v>295.428569031728</v>
      </c>
      <c r="H642" s="5">
        <v>10.44899984162</v>
      </c>
      <c r="I642" s="5">
        <v>10.44899984162</v>
      </c>
      <c r="J642" s="5">
        <v>10.44899984162</v>
      </c>
      <c r="K642" s="5">
        <v>1.16457933345115</v>
      </c>
      <c r="L642" s="5">
        <v>1.16457933345115</v>
      </c>
      <c r="M642" s="5">
        <v>1.16457933345115</v>
      </c>
      <c r="N642" s="5">
        <v>9.28442050816889</v>
      </c>
      <c r="O642" s="5">
        <v>9.28442050816889</v>
      </c>
      <c r="P642" s="5">
        <v>9.28442050816889</v>
      </c>
      <c r="Q642" s="5">
        <v>0.0</v>
      </c>
      <c r="R642" s="5">
        <v>0.0</v>
      </c>
      <c r="S642" s="5">
        <v>0.0</v>
      </c>
      <c r="T642" s="5">
        <v>305.877568873348</v>
      </c>
    </row>
    <row r="643">
      <c r="A643" s="5">
        <v>641.0</v>
      </c>
      <c r="B643" s="6">
        <v>44509.0</v>
      </c>
      <c r="C643" s="5">
        <v>295.739694322114</v>
      </c>
      <c r="D643" s="5">
        <v>264.881686734893</v>
      </c>
      <c r="E643" s="5">
        <v>345.151105075094</v>
      </c>
      <c r="F643" s="5">
        <v>295.739694322114</v>
      </c>
      <c r="G643" s="5">
        <v>295.739694322114</v>
      </c>
      <c r="H643" s="5">
        <v>9.46270336900835</v>
      </c>
      <c r="I643" s="5">
        <v>9.46270336900835</v>
      </c>
      <c r="J643" s="5">
        <v>9.46270336900835</v>
      </c>
      <c r="K643" s="5">
        <v>0.247324772138252</v>
      </c>
      <c r="L643" s="5">
        <v>0.247324772138252</v>
      </c>
      <c r="M643" s="5">
        <v>0.247324772138252</v>
      </c>
      <c r="N643" s="5">
        <v>9.2153785968701</v>
      </c>
      <c r="O643" s="5">
        <v>9.2153785968701</v>
      </c>
      <c r="P643" s="5">
        <v>9.2153785968701</v>
      </c>
      <c r="Q643" s="5">
        <v>0.0</v>
      </c>
      <c r="R643" s="5">
        <v>0.0</v>
      </c>
      <c r="S643" s="5">
        <v>0.0</v>
      </c>
      <c r="T643" s="5">
        <v>305.202397691122</v>
      </c>
    </row>
    <row r="644">
      <c r="A644" s="5">
        <v>642.0</v>
      </c>
      <c r="B644" s="6">
        <v>44510.0</v>
      </c>
      <c r="C644" s="5">
        <v>296.0508196125</v>
      </c>
      <c r="D644" s="5">
        <v>266.353664846678</v>
      </c>
      <c r="E644" s="5">
        <v>346.550786022145</v>
      </c>
      <c r="F644" s="5">
        <v>296.0508196125</v>
      </c>
      <c r="G644" s="5">
        <v>296.0508196125</v>
      </c>
      <c r="H644" s="5">
        <v>9.79135505626091</v>
      </c>
      <c r="I644" s="5">
        <v>9.79135505626091</v>
      </c>
      <c r="J644" s="5">
        <v>9.79135505626091</v>
      </c>
      <c r="K644" s="5">
        <v>0.608132553630308</v>
      </c>
      <c r="L644" s="5">
        <v>0.608132553630308</v>
      </c>
      <c r="M644" s="5">
        <v>0.608132553630308</v>
      </c>
      <c r="N644" s="5">
        <v>9.1832225026306</v>
      </c>
      <c r="O644" s="5">
        <v>9.1832225026306</v>
      </c>
      <c r="P644" s="5">
        <v>9.1832225026306</v>
      </c>
      <c r="Q644" s="5">
        <v>0.0</v>
      </c>
      <c r="R644" s="5">
        <v>0.0</v>
      </c>
      <c r="S644" s="5">
        <v>0.0</v>
      </c>
      <c r="T644" s="5">
        <v>305.842174668761</v>
      </c>
    </row>
    <row r="645">
      <c r="A645" s="5">
        <v>643.0</v>
      </c>
      <c r="B645" s="6">
        <v>44511.0</v>
      </c>
      <c r="C645" s="5">
        <v>296.361944902886</v>
      </c>
      <c r="D645" s="5">
        <v>265.22846437995</v>
      </c>
      <c r="E645" s="5">
        <v>343.094653288468</v>
      </c>
      <c r="F645" s="5">
        <v>296.361944902886</v>
      </c>
      <c r="G645" s="5">
        <v>296.361944902886</v>
      </c>
      <c r="H645" s="5">
        <v>8.97270878290714</v>
      </c>
      <c r="I645" s="5">
        <v>8.97270878290714</v>
      </c>
      <c r="J645" s="5">
        <v>8.97270878290714</v>
      </c>
      <c r="K645" s="5">
        <v>-0.225417905348584</v>
      </c>
      <c r="L645" s="5">
        <v>-0.225417905348584</v>
      </c>
      <c r="M645" s="5">
        <v>-0.225417905348584</v>
      </c>
      <c r="N645" s="5">
        <v>9.19812668825573</v>
      </c>
      <c r="O645" s="5">
        <v>9.19812668825573</v>
      </c>
      <c r="P645" s="5">
        <v>9.19812668825573</v>
      </c>
      <c r="Q645" s="5">
        <v>0.0</v>
      </c>
      <c r="R645" s="5">
        <v>0.0</v>
      </c>
      <c r="S645" s="5">
        <v>0.0</v>
      </c>
      <c r="T645" s="5">
        <v>305.334653685793</v>
      </c>
    </row>
    <row r="646">
      <c r="A646" s="5">
        <v>644.0</v>
      </c>
      <c r="B646" s="6">
        <v>44512.0</v>
      </c>
      <c r="C646" s="5">
        <v>296.673070193272</v>
      </c>
      <c r="D646" s="5">
        <v>265.511066703559</v>
      </c>
      <c r="E646" s="5">
        <v>343.43111911106</v>
      </c>
      <c r="F646" s="5">
        <v>296.673070193272</v>
      </c>
      <c r="G646" s="5">
        <v>296.673070193272</v>
      </c>
      <c r="H646" s="5">
        <v>8.52891390112324</v>
      </c>
      <c r="I646" s="5">
        <v>8.52891390112324</v>
      </c>
      <c r="J646" s="5">
        <v>8.52891390112324</v>
      </c>
      <c r="K646" s="5">
        <v>-0.739640081283466</v>
      </c>
      <c r="L646" s="5">
        <v>-0.739640081283466</v>
      </c>
      <c r="M646" s="5">
        <v>-0.739640081283466</v>
      </c>
      <c r="N646" s="5">
        <v>9.26855398240671</v>
      </c>
      <c r="O646" s="5">
        <v>9.26855398240671</v>
      </c>
      <c r="P646" s="5">
        <v>9.26855398240671</v>
      </c>
      <c r="Q646" s="5">
        <v>0.0</v>
      </c>
      <c r="R646" s="5">
        <v>0.0</v>
      </c>
      <c r="S646" s="5">
        <v>0.0</v>
      </c>
      <c r="T646" s="5">
        <v>305.201984094395</v>
      </c>
    </row>
    <row r="647">
      <c r="A647" s="5">
        <v>645.0</v>
      </c>
      <c r="B647" s="6">
        <v>44515.0</v>
      </c>
      <c r="C647" s="5">
        <v>297.606445316992</v>
      </c>
      <c r="D647" s="5">
        <v>267.363571431525</v>
      </c>
      <c r="E647" s="5">
        <v>350.779522755162</v>
      </c>
      <c r="F647" s="5">
        <v>297.606445316992</v>
      </c>
      <c r="G647" s="5">
        <v>297.606445316992</v>
      </c>
      <c r="H647" s="5">
        <v>11.0304516137414</v>
      </c>
      <c r="I647" s="5">
        <v>11.0304516137414</v>
      </c>
      <c r="J647" s="5">
        <v>11.0304516137414</v>
      </c>
      <c r="K647" s="5">
        <v>1.16457933344977</v>
      </c>
      <c r="L647" s="5">
        <v>1.16457933344977</v>
      </c>
      <c r="M647" s="5">
        <v>1.16457933344977</v>
      </c>
      <c r="N647" s="5">
        <v>9.86587228029172</v>
      </c>
      <c r="O647" s="5">
        <v>9.86587228029172</v>
      </c>
      <c r="P647" s="5">
        <v>9.86587228029172</v>
      </c>
      <c r="Q647" s="5">
        <v>0.0</v>
      </c>
      <c r="R647" s="5">
        <v>0.0</v>
      </c>
      <c r="S647" s="5">
        <v>0.0</v>
      </c>
      <c r="T647" s="5">
        <v>308.636896930734</v>
      </c>
    </row>
    <row r="648">
      <c r="A648" s="5">
        <v>646.0</v>
      </c>
      <c r="B648" s="6">
        <v>44516.0</v>
      </c>
      <c r="C648" s="5">
        <v>297.917570358232</v>
      </c>
      <c r="D648" s="5">
        <v>269.959621968176</v>
      </c>
      <c r="E648" s="5">
        <v>350.910395459673</v>
      </c>
      <c r="F648" s="5">
        <v>297.917570358232</v>
      </c>
      <c r="G648" s="5">
        <v>297.917570358232</v>
      </c>
      <c r="H648" s="5">
        <v>10.4466339638517</v>
      </c>
      <c r="I648" s="5">
        <v>10.4466339638517</v>
      </c>
      <c r="J648" s="5">
        <v>10.4466339638517</v>
      </c>
      <c r="K648" s="5">
        <v>0.24732477213834</v>
      </c>
      <c r="L648" s="5">
        <v>0.24732477213834</v>
      </c>
      <c r="M648" s="5">
        <v>0.24732477213834</v>
      </c>
      <c r="N648" s="5">
        <v>10.1993091917133</v>
      </c>
      <c r="O648" s="5">
        <v>10.1993091917133</v>
      </c>
      <c r="P648" s="5">
        <v>10.1993091917133</v>
      </c>
      <c r="Q648" s="5">
        <v>0.0</v>
      </c>
      <c r="R648" s="5">
        <v>0.0</v>
      </c>
      <c r="S648" s="5">
        <v>0.0</v>
      </c>
      <c r="T648" s="5">
        <v>308.364204322084</v>
      </c>
    </row>
    <row r="649">
      <c r="A649" s="5">
        <v>647.0</v>
      </c>
      <c r="B649" s="6">
        <v>44517.0</v>
      </c>
      <c r="C649" s="5">
        <v>298.228695399472</v>
      </c>
      <c r="D649" s="5">
        <v>268.953356001043</v>
      </c>
      <c r="E649" s="5">
        <v>348.892589137968</v>
      </c>
      <c r="F649" s="5">
        <v>298.228695399472</v>
      </c>
      <c r="G649" s="5">
        <v>298.228695399472</v>
      </c>
      <c r="H649" s="5">
        <v>11.2045239896863</v>
      </c>
      <c r="I649" s="5">
        <v>11.2045239896863</v>
      </c>
      <c r="J649" s="5">
        <v>11.2045239896863</v>
      </c>
      <c r="K649" s="5">
        <v>0.608132553626749</v>
      </c>
      <c r="L649" s="5">
        <v>0.608132553626749</v>
      </c>
      <c r="M649" s="5">
        <v>0.608132553626749</v>
      </c>
      <c r="N649" s="5">
        <v>10.5963914360595</v>
      </c>
      <c r="O649" s="5">
        <v>10.5963914360595</v>
      </c>
      <c r="P649" s="5">
        <v>10.5963914360595</v>
      </c>
      <c r="Q649" s="5">
        <v>0.0</v>
      </c>
      <c r="R649" s="5">
        <v>0.0</v>
      </c>
      <c r="S649" s="5">
        <v>0.0</v>
      </c>
      <c r="T649" s="5">
        <v>309.433219389159</v>
      </c>
    </row>
    <row r="650">
      <c r="A650" s="5">
        <v>648.0</v>
      </c>
      <c r="B650" s="6">
        <v>44518.0</v>
      </c>
      <c r="C650" s="5">
        <v>298.539820440712</v>
      </c>
      <c r="D650" s="5">
        <v>266.640293650389</v>
      </c>
      <c r="E650" s="5">
        <v>349.871976571653</v>
      </c>
      <c r="F650" s="5">
        <v>298.539820440712</v>
      </c>
      <c r="G650" s="5">
        <v>298.539820440712</v>
      </c>
      <c r="H650" s="5">
        <v>10.8257889937101</v>
      </c>
      <c r="I650" s="5">
        <v>10.8257889937101</v>
      </c>
      <c r="J650" s="5">
        <v>10.8257889937101</v>
      </c>
      <c r="K650" s="5">
        <v>-0.225417905344777</v>
      </c>
      <c r="L650" s="5">
        <v>-0.225417905344777</v>
      </c>
      <c r="M650" s="5">
        <v>-0.225417905344777</v>
      </c>
      <c r="N650" s="5">
        <v>11.0512068990549</v>
      </c>
      <c r="O650" s="5">
        <v>11.0512068990549</v>
      </c>
      <c r="P650" s="5">
        <v>11.0512068990549</v>
      </c>
      <c r="Q650" s="5">
        <v>0.0</v>
      </c>
      <c r="R650" s="5">
        <v>0.0</v>
      </c>
      <c r="S650" s="5">
        <v>0.0</v>
      </c>
      <c r="T650" s="5">
        <v>309.365609434423</v>
      </c>
    </row>
    <row r="651">
      <c r="A651" s="5">
        <v>649.0</v>
      </c>
      <c r="B651" s="6">
        <v>44519.0</v>
      </c>
      <c r="C651" s="5">
        <v>298.850945481953</v>
      </c>
      <c r="D651" s="5">
        <v>267.901908955101</v>
      </c>
      <c r="E651" s="5">
        <v>350.373795218371</v>
      </c>
      <c r="F651" s="5">
        <v>298.850945481953</v>
      </c>
      <c r="G651" s="5">
        <v>298.850945481953</v>
      </c>
      <c r="H651" s="5">
        <v>10.815824370241</v>
      </c>
      <c r="I651" s="5">
        <v>10.815824370241</v>
      </c>
      <c r="J651" s="5">
        <v>10.815824370241</v>
      </c>
      <c r="K651" s="5">
        <v>-0.73964008128119</v>
      </c>
      <c r="L651" s="5">
        <v>-0.73964008128119</v>
      </c>
      <c r="M651" s="5">
        <v>-0.73964008128119</v>
      </c>
      <c r="N651" s="5">
        <v>11.5554644515222</v>
      </c>
      <c r="O651" s="5">
        <v>11.5554644515222</v>
      </c>
      <c r="P651" s="5">
        <v>11.5554644515222</v>
      </c>
      <c r="Q651" s="5">
        <v>0.0</v>
      </c>
      <c r="R651" s="5">
        <v>0.0</v>
      </c>
      <c r="S651" s="5">
        <v>0.0</v>
      </c>
      <c r="T651" s="5">
        <v>309.666769852194</v>
      </c>
    </row>
    <row r="652">
      <c r="A652" s="5">
        <v>650.0</v>
      </c>
      <c r="B652" s="6">
        <v>44522.0</v>
      </c>
      <c r="C652" s="5">
        <v>299.784320605673</v>
      </c>
      <c r="D652" s="5">
        <v>275.850230593544</v>
      </c>
      <c r="E652" s="5">
        <v>351.012995131721</v>
      </c>
      <c r="F652" s="5">
        <v>299.784320605673</v>
      </c>
      <c r="G652" s="5">
        <v>299.784320605673</v>
      </c>
      <c r="H652" s="5">
        <v>14.4158365174541</v>
      </c>
      <c r="I652" s="5">
        <v>14.4158365174541</v>
      </c>
      <c r="J652" s="5">
        <v>14.4158365174541</v>
      </c>
      <c r="K652" s="5">
        <v>1.16457933345</v>
      </c>
      <c r="L652" s="5">
        <v>1.16457933345</v>
      </c>
      <c r="M652" s="5">
        <v>1.16457933345</v>
      </c>
      <c r="N652" s="5">
        <v>13.2512571840041</v>
      </c>
      <c r="O652" s="5">
        <v>13.2512571840041</v>
      </c>
      <c r="P652" s="5">
        <v>13.2512571840041</v>
      </c>
      <c r="Q652" s="5">
        <v>0.0</v>
      </c>
      <c r="R652" s="5">
        <v>0.0</v>
      </c>
      <c r="S652" s="5">
        <v>0.0</v>
      </c>
      <c r="T652" s="5">
        <v>314.200157123127</v>
      </c>
    </row>
    <row r="653">
      <c r="A653" s="5">
        <v>651.0</v>
      </c>
      <c r="B653" s="6">
        <v>44523.0</v>
      </c>
      <c r="C653" s="5">
        <v>300.095445646913</v>
      </c>
      <c r="D653" s="5">
        <v>269.020585713112</v>
      </c>
      <c r="E653" s="5">
        <v>353.885101260273</v>
      </c>
      <c r="F653" s="5">
        <v>300.095445646913</v>
      </c>
      <c r="G653" s="5">
        <v>300.095445646913</v>
      </c>
      <c r="H653" s="5">
        <v>14.079005567572</v>
      </c>
      <c r="I653" s="5">
        <v>14.079005567572</v>
      </c>
      <c r="J653" s="5">
        <v>14.079005567572</v>
      </c>
      <c r="K653" s="5">
        <v>0.247324772138428</v>
      </c>
      <c r="L653" s="5">
        <v>0.247324772138428</v>
      </c>
      <c r="M653" s="5">
        <v>0.247324772138428</v>
      </c>
      <c r="N653" s="5">
        <v>13.8316807954336</v>
      </c>
      <c r="O653" s="5">
        <v>13.8316807954336</v>
      </c>
      <c r="P653" s="5">
        <v>13.8316807954336</v>
      </c>
      <c r="Q653" s="5">
        <v>0.0</v>
      </c>
      <c r="R653" s="5">
        <v>0.0</v>
      </c>
      <c r="S653" s="5">
        <v>0.0</v>
      </c>
      <c r="T653" s="5">
        <v>314.174451214485</v>
      </c>
    </row>
    <row r="654">
      <c r="A654" s="5">
        <v>652.0</v>
      </c>
      <c r="B654" s="6">
        <v>44524.0</v>
      </c>
      <c r="C654" s="5">
        <v>300.406570688153</v>
      </c>
      <c r="D654" s="5">
        <v>274.771963713235</v>
      </c>
      <c r="E654" s="5">
        <v>357.443280146456</v>
      </c>
      <c r="F654" s="5">
        <v>300.406570688153</v>
      </c>
      <c r="G654" s="5">
        <v>300.406570688153</v>
      </c>
      <c r="H654" s="5">
        <v>15.002295854578</v>
      </c>
      <c r="I654" s="5">
        <v>15.002295854578</v>
      </c>
      <c r="J654" s="5">
        <v>15.002295854578</v>
      </c>
      <c r="K654" s="5">
        <v>0.608132553628528</v>
      </c>
      <c r="L654" s="5">
        <v>0.608132553628528</v>
      </c>
      <c r="M654" s="5">
        <v>0.608132553628528</v>
      </c>
      <c r="N654" s="5">
        <v>14.3941633009494</v>
      </c>
      <c r="O654" s="5">
        <v>14.3941633009494</v>
      </c>
      <c r="P654" s="5">
        <v>14.3941633009494</v>
      </c>
      <c r="Q654" s="5">
        <v>0.0</v>
      </c>
      <c r="R654" s="5">
        <v>0.0</v>
      </c>
      <c r="S654" s="5">
        <v>0.0</v>
      </c>
      <c r="T654" s="5">
        <v>315.408866542731</v>
      </c>
    </row>
    <row r="655">
      <c r="A655" s="5">
        <v>653.0</v>
      </c>
      <c r="B655" s="6">
        <v>44526.0</v>
      </c>
      <c r="C655" s="5">
        <v>301.028820770633</v>
      </c>
      <c r="D655" s="5">
        <v>275.971736113094</v>
      </c>
      <c r="E655" s="5">
        <v>358.016402386862</v>
      </c>
      <c r="F655" s="5">
        <v>301.028820770633</v>
      </c>
      <c r="G655" s="5">
        <v>301.028820770633</v>
      </c>
      <c r="H655" s="5">
        <v>14.6622167096546</v>
      </c>
      <c r="I655" s="5">
        <v>14.6622167096546</v>
      </c>
      <c r="J655" s="5">
        <v>14.6622167096546</v>
      </c>
      <c r="K655" s="5">
        <v>-0.739640081280284</v>
      </c>
      <c r="L655" s="5">
        <v>-0.739640081280284</v>
      </c>
      <c r="M655" s="5">
        <v>-0.739640081280284</v>
      </c>
      <c r="N655" s="5">
        <v>15.4018567909349</v>
      </c>
      <c r="O655" s="5">
        <v>15.4018567909349</v>
      </c>
      <c r="P655" s="5">
        <v>15.4018567909349</v>
      </c>
      <c r="Q655" s="5">
        <v>0.0</v>
      </c>
      <c r="R655" s="5">
        <v>0.0</v>
      </c>
      <c r="S655" s="5">
        <v>0.0</v>
      </c>
      <c r="T655" s="5">
        <v>315.691037480288</v>
      </c>
    </row>
    <row r="656">
      <c r="A656" s="5">
        <v>654.0</v>
      </c>
      <c r="B656" s="6">
        <v>44529.0</v>
      </c>
      <c r="C656" s="5">
        <v>301.962195894353</v>
      </c>
      <c r="D656" s="5">
        <v>276.803278781008</v>
      </c>
      <c r="E656" s="5">
        <v>358.802676864045</v>
      </c>
      <c r="F656" s="5">
        <v>301.962195894353</v>
      </c>
      <c r="G656" s="5">
        <v>301.962195894353</v>
      </c>
      <c r="H656" s="5">
        <v>17.5638270166514</v>
      </c>
      <c r="I656" s="5">
        <v>17.5638270166514</v>
      </c>
      <c r="J656" s="5">
        <v>17.5638270166514</v>
      </c>
      <c r="K656" s="5">
        <v>1.16457933345044</v>
      </c>
      <c r="L656" s="5">
        <v>1.16457933345044</v>
      </c>
      <c r="M656" s="5">
        <v>1.16457933345044</v>
      </c>
      <c r="N656" s="5">
        <v>16.399247683201</v>
      </c>
      <c r="O656" s="5">
        <v>16.399247683201</v>
      </c>
      <c r="P656" s="5">
        <v>16.399247683201</v>
      </c>
      <c r="Q656" s="5">
        <v>0.0</v>
      </c>
      <c r="R656" s="5">
        <v>0.0</v>
      </c>
      <c r="S656" s="5">
        <v>0.0</v>
      </c>
      <c r="T656" s="5">
        <v>319.526022911005</v>
      </c>
    </row>
    <row r="657">
      <c r="A657" s="5">
        <v>655.0</v>
      </c>
      <c r="B657" s="6">
        <v>44530.0</v>
      </c>
      <c r="C657" s="5">
        <v>302.273320935594</v>
      </c>
      <c r="D657" s="5">
        <v>278.884639978938</v>
      </c>
      <c r="E657" s="5">
        <v>360.367919477521</v>
      </c>
      <c r="F657" s="5">
        <v>302.273320935594</v>
      </c>
      <c r="G657" s="5">
        <v>302.273320935594</v>
      </c>
      <c r="H657" s="5">
        <v>16.7927063216312</v>
      </c>
      <c r="I657" s="5">
        <v>16.7927063216312</v>
      </c>
      <c r="J657" s="5">
        <v>16.7927063216312</v>
      </c>
      <c r="K657" s="5">
        <v>0.247324772137094</v>
      </c>
      <c r="L657" s="5">
        <v>0.247324772137094</v>
      </c>
      <c r="M657" s="5">
        <v>0.247324772137094</v>
      </c>
      <c r="N657" s="5">
        <v>16.5453815494941</v>
      </c>
      <c r="O657" s="5">
        <v>16.5453815494941</v>
      </c>
      <c r="P657" s="5">
        <v>16.5453815494941</v>
      </c>
      <c r="Q657" s="5">
        <v>0.0</v>
      </c>
      <c r="R657" s="5">
        <v>0.0</v>
      </c>
      <c r="S657" s="5">
        <v>0.0</v>
      </c>
      <c r="T657" s="5">
        <v>319.066027257225</v>
      </c>
    </row>
    <row r="658">
      <c r="A658" s="5">
        <v>656.0</v>
      </c>
      <c r="B658" s="6">
        <v>44531.0</v>
      </c>
      <c r="C658" s="5">
        <v>302.584445976834</v>
      </c>
      <c r="D658" s="5">
        <v>278.239448664724</v>
      </c>
      <c r="E658" s="5">
        <v>358.986016830952</v>
      </c>
      <c r="F658" s="5">
        <v>302.584445976834</v>
      </c>
      <c r="G658" s="5">
        <v>302.584445976834</v>
      </c>
      <c r="H658" s="5">
        <v>17.1919383832392</v>
      </c>
      <c r="I658" s="5">
        <v>17.1919383832392</v>
      </c>
      <c r="J658" s="5">
        <v>17.1919383832392</v>
      </c>
      <c r="K658" s="5">
        <v>0.608132553626525</v>
      </c>
      <c r="L658" s="5">
        <v>0.608132553626525</v>
      </c>
      <c r="M658" s="5">
        <v>0.608132553626525</v>
      </c>
      <c r="N658" s="5">
        <v>16.5838058296127</v>
      </c>
      <c r="O658" s="5">
        <v>16.5838058296127</v>
      </c>
      <c r="P658" s="5">
        <v>16.5838058296127</v>
      </c>
      <c r="Q658" s="5">
        <v>0.0</v>
      </c>
      <c r="R658" s="5">
        <v>0.0</v>
      </c>
      <c r="S658" s="5">
        <v>0.0</v>
      </c>
      <c r="T658" s="5">
        <v>319.776384360073</v>
      </c>
    </row>
    <row r="659">
      <c r="A659" s="5">
        <v>657.0</v>
      </c>
      <c r="B659" s="6">
        <v>44532.0</v>
      </c>
      <c r="C659" s="5">
        <v>302.895571018074</v>
      </c>
      <c r="D659" s="5">
        <v>280.207659790329</v>
      </c>
      <c r="E659" s="5">
        <v>358.25837468638</v>
      </c>
      <c r="F659" s="5">
        <v>302.895571018074</v>
      </c>
      <c r="G659" s="5">
        <v>302.895571018074</v>
      </c>
      <c r="H659" s="5">
        <v>16.2842451081261</v>
      </c>
      <c r="I659" s="5">
        <v>16.2842451081261</v>
      </c>
      <c r="J659" s="5">
        <v>16.2842451081261</v>
      </c>
      <c r="K659" s="5">
        <v>-0.225417905350706</v>
      </c>
      <c r="L659" s="5">
        <v>-0.225417905350706</v>
      </c>
      <c r="M659" s="5">
        <v>-0.225417905350706</v>
      </c>
      <c r="N659" s="5">
        <v>16.5096630134768</v>
      </c>
      <c r="O659" s="5">
        <v>16.5096630134768</v>
      </c>
      <c r="P659" s="5">
        <v>16.5096630134768</v>
      </c>
      <c r="Q659" s="5">
        <v>0.0</v>
      </c>
      <c r="R659" s="5">
        <v>0.0</v>
      </c>
      <c r="S659" s="5">
        <v>0.0</v>
      </c>
      <c r="T659" s="5">
        <v>319.1798161262</v>
      </c>
    </row>
    <row r="660">
      <c r="A660" s="5">
        <v>658.0</v>
      </c>
      <c r="B660" s="6">
        <v>44533.0</v>
      </c>
      <c r="C660" s="5">
        <v>303.206696059314</v>
      </c>
      <c r="D660" s="5">
        <v>280.616218806371</v>
      </c>
      <c r="E660" s="5">
        <v>360.993539891278</v>
      </c>
      <c r="F660" s="5">
        <v>303.206696059314</v>
      </c>
      <c r="G660" s="5">
        <v>303.206696059314</v>
      </c>
      <c r="H660" s="5">
        <v>15.5813607489208</v>
      </c>
      <c r="I660" s="5">
        <v>15.5813607489208</v>
      </c>
      <c r="J660" s="5">
        <v>15.5813607489208</v>
      </c>
      <c r="K660" s="5">
        <v>-0.739640081278007</v>
      </c>
      <c r="L660" s="5">
        <v>-0.739640081278007</v>
      </c>
      <c r="M660" s="5">
        <v>-0.739640081278007</v>
      </c>
      <c r="N660" s="5">
        <v>16.3210008301988</v>
      </c>
      <c r="O660" s="5">
        <v>16.3210008301988</v>
      </c>
      <c r="P660" s="5">
        <v>16.3210008301988</v>
      </c>
      <c r="Q660" s="5">
        <v>0.0</v>
      </c>
      <c r="R660" s="5">
        <v>0.0</v>
      </c>
      <c r="S660" s="5">
        <v>0.0</v>
      </c>
      <c r="T660" s="5">
        <v>318.788056808235</v>
      </c>
    </row>
    <row r="661">
      <c r="A661" s="5">
        <v>659.0</v>
      </c>
      <c r="B661" s="6">
        <v>44536.0</v>
      </c>
      <c r="C661" s="5">
        <v>304.140071183034</v>
      </c>
      <c r="D661" s="5">
        <v>278.155554843114</v>
      </c>
      <c r="E661" s="5">
        <v>361.215384957852</v>
      </c>
      <c r="F661" s="5">
        <v>304.140071183034</v>
      </c>
      <c r="G661" s="5">
        <v>304.140071183034</v>
      </c>
      <c r="H661" s="5">
        <v>16.2585808815829</v>
      </c>
      <c r="I661" s="5">
        <v>16.2585808815829</v>
      </c>
      <c r="J661" s="5">
        <v>16.2585808815829</v>
      </c>
      <c r="K661" s="5">
        <v>1.16457933345067</v>
      </c>
      <c r="L661" s="5">
        <v>1.16457933345067</v>
      </c>
      <c r="M661" s="5">
        <v>1.16457933345067</v>
      </c>
      <c r="N661" s="5">
        <v>15.0940015481323</v>
      </c>
      <c r="O661" s="5">
        <v>15.0940015481323</v>
      </c>
      <c r="P661" s="5">
        <v>15.0940015481323</v>
      </c>
      <c r="Q661" s="5">
        <v>0.0</v>
      </c>
      <c r="R661" s="5">
        <v>0.0</v>
      </c>
      <c r="S661" s="5">
        <v>0.0</v>
      </c>
      <c r="T661" s="5">
        <v>320.398652064617</v>
      </c>
    </row>
    <row r="662">
      <c r="A662" s="5">
        <v>660.0</v>
      </c>
      <c r="B662" s="6">
        <v>44537.0</v>
      </c>
      <c r="C662" s="5">
        <v>304.451196224274</v>
      </c>
      <c r="D662" s="5">
        <v>278.842340181321</v>
      </c>
      <c r="E662" s="5">
        <v>361.547078671801</v>
      </c>
      <c r="F662" s="5">
        <v>304.451196224274</v>
      </c>
      <c r="G662" s="5">
        <v>304.451196224274</v>
      </c>
      <c r="H662" s="5">
        <v>14.7357630133336</v>
      </c>
      <c r="I662" s="5">
        <v>14.7357630133336</v>
      </c>
      <c r="J662" s="5">
        <v>14.7357630133336</v>
      </c>
      <c r="K662" s="5">
        <v>0.247324772138479</v>
      </c>
      <c r="L662" s="5">
        <v>0.247324772138479</v>
      </c>
      <c r="M662" s="5">
        <v>0.247324772138479</v>
      </c>
      <c r="N662" s="5">
        <v>14.4884382411951</v>
      </c>
      <c r="O662" s="5">
        <v>14.4884382411951</v>
      </c>
      <c r="P662" s="5">
        <v>14.4884382411951</v>
      </c>
      <c r="Q662" s="5">
        <v>0.0</v>
      </c>
      <c r="R662" s="5">
        <v>0.0</v>
      </c>
      <c r="S662" s="5">
        <v>0.0</v>
      </c>
      <c r="T662" s="5">
        <v>319.186959237608</v>
      </c>
    </row>
    <row r="663">
      <c r="A663" s="5">
        <v>661.0</v>
      </c>
      <c r="B663" s="6">
        <v>44538.0</v>
      </c>
      <c r="C663" s="5">
        <v>304.762321265514</v>
      </c>
      <c r="D663" s="5">
        <v>281.170803769914</v>
      </c>
      <c r="E663" s="5">
        <v>361.232153326692</v>
      </c>
      <c r="F663" s="5">
        <v>304.762321265514</v>
      </c>
      <c r="G663" s="5">
        <v>304.762321265514</v>
      </c>
      <c r="H663" s="5">
        <v>14.4116693915443</v>
      </c>
      <c r="I663" s="5">
        <v>14.4116693915443</v>
      </c>
      <c r="J663" s="5">
        <v>14.4116693915443</v>
      </c>
      <c r="K663" s="5">
        <v>0.608132553628303</v>
      </c>
      <c r="L663" s="5">
        <v>0.608132553628303</v>
      </c>
      <c r="M663" s="5">
        <v>0.608132553628303</v>
      </c>
      <c r="N663" s="5">
        <v>13.803536837916</v>
      </c>
      <c r="O663" s="5">
        <v>13.803536837916</v>
      </c>
      <c r="P663" s="5">
        <v>13.803536837916</v>
      </c>
      <c r="Q663" s="5">
        <v>0.0</v>
      </c>
      <c r="R663" s="5">
        <v>0.0</v>
      </c>
      <c r="S663" s="5">
        <v>0.0</v>
      </c>
      <c r="T663" s="5">
        <v>319.173990657059</v>
      </c>
    </row>
    <row r="664">
      <c r="A664" s="5">
        <v>662.0</v>
      </c>
      <c r="B664" s="6">
        <v>44539.0</v>
      </c>
      <c r="C664" s="5">
        <v>305.073446306754</v>
      </c>
      <c r="D664" s="5">
        <v>275.52469459006</v>
      </c>
      <c r="E664" s="5">
        <v>359.767825164023</v>
      </c>
      <c r="F664" s="5">
        <v>305.073446306754</v>
      </c>
      <c r="G664" s="5">
        <v>305.073446306754</v>
      </c>
      <c r="H664" s="5">
        <v>12.828954655678</v>
      </c>
      <c r="I664" s="5">
        <v>12.828954655678</v>
      </c>
      <c r="J664" s="5">
        <v>12.828954655678</v>
      </c>
      <c r="K664" s="5">
        <v>-0.2254179053469</v>
      </c>
      <c r="L664" s="5">
        <v>-0.2254179053469</v>
      </c>
      <c r="M664" s="5">
        <v>-0.2254179053469</v>
      </c>
      <c r="N664" s="5">
        <v>13.0543725610249</v>
      </c>
      <c r="O664" s="5">
        <v>13.0543725610249</v>
      </c>
      <c r="P664" s="5">
        <v>13.0543725610249</v>
      </c>
      <c r="Q664" s="5">
        <v>0.0</v>
      </c>
      <c r="R664" s="5">
        <v>0.0</v>
      </c>
      <c r="S664" s="5">
        <v>0.0</v>
      </c>
      <c r="T664" s="5">
        <v>317.902400962432</v>
      </c>
    </row>
    <row r="665">
      <c r="A665" s="5">
        <v>663.0</v>
      </c>
      <c r="B665" s="6">
        <v>44540.0</v>
      </c>
      <c r="C665" s="5">
        <v>305.384571347994</v>
      </c>
      <c r="D665" s="5">
        <v>278.84240497778</v>
      </c>
      <c r="E665" s="5">
        <v>357.90751848994</v>
      </c>
      <c r="F665" s="5">
        <v>305.384571347994</v>
      </c>
      <c r="G665" s="5">
        <v>305.384571347994</v>
      </c>
      <c r="H665" s="5">
        <v>11.51835935411</v>
      </c>
      <c r="I665" s="5">
        <v>11.51835935411</v>
      </c>
      <c r="J665" s="5">
        <v>11.51835935411</v>
      </c>
      <c r="K665" s="5">
        <v>-0.739640081282595</v>
      </c>
      <c r="L665" s="5">
        <v>-0.739640081282595</v>
      </c>
      <c r="M665" s="5">
        <v>-0.739640081282595</v>
      </c>
      <c r="N665" s="5">
        <v>12.2579994353926</v>
      </c>
      <c r="O665" s="5">
        <v>12.2579994353926</v>
      </c>
      <c r="P665" s="5">
        <v>12.2579994353926</v>
      </c>
      <c r="Q665" s="5">
        <v>0.0</v>
      </c>
      <c r="R665" s="5">
        <v>0.0</v>
      </c>
      <c r="S665" s="5">
        <v>0.0</v>
      </c>
      <c r="T665" s="5">
        <v>316.902930702104</v>
      </c>
    </row>
    <row r="666">
      <c r="A666" s="5">
        <v>664.0</v>
      </c>
      <c r="B666" s="6">
        <v>44543.0</v>
      </c>
      <c r="C666" s="5">
        <v>306.317946471715</v>
      </c>
      <c r="D666" s="5">
        <v>277.031546159958</v>
      </c>
      <c r="E666" s="5">
        <v>358.611904042623</v>
      </c>
      <c r="F666" s="5">
        <v>306.317946471715</v>
      </c>
      <c r="G666" s="5">
        <v>306.317946471715</v>
      </c>
      <c r="H666" s="5">
        <v>10.940835804278</v>
      </c>
      <c r="I666" s="5">
        <v>10.940835804278</v>
      </c>
      <c r="J666" s="5">
        <v>10.940835804278</v>
      </c>
      <c r="K666" s="5">
        <v>1.1645793334509</v>
      </c>
      <c r="L666" s="5">
        <v>1.1645793334509</v>
      </c>
      <c r="M666" s="5">
        <v>1.1645793334509</v>
      </c>
      <c r="N666" s="5">
        <v>9.77625647082718</v>
      </c>
      <c r="O666" s="5">
        <v>9.77625647082718</v>
      </c>
      <c r="P666" s="5">
        <v>9.77625647082718</v>
      </c>
      <c r="Q666" s="5">
        <v>0.0</v>
      </c>
      <c r="R666" s="5">
        <v>0.0</v>
      </c>
      <c r="S666" s="5">
        <v>0.0</v>
      </c>
      <c r="T666" s="5">
        <v>317.258782275993</v>
      </c>
    </row>
    <row r="667">
      <c r="A667" s="5">
        <v>665.0</v>
      </c>
      <c r="B667" s="6">
        <v>44544.0</v>
      </c>
      <c r="C667" s="5">
        <v>306.629071512955</v>
      </c>
      <c r="D667" s="5">
        <v>276.055610353616</v>
      </c>
      <c r="E667" s="5">
        <v>357.116543672266</v>
      </c>
      <c r="F667" s="5">
        <v>306.629071512955</v>
      </c>
      <c r="G667" s="5">
        <v>306.629071512955</v>
      </c>
      <c r="H667" s="5">
        <v>9.2320975457364</v>
      </c>
      <c r="I667" s="5">
        <v>9.2320975457364</v>
      </c>
      <c r="J667" s="5">
        <v>9.2320975457364</v>
      </c>
      <c r="K667" s="5">
        <v>0.247324772137145</v>
      </c>
      <c r="L667" s="5">
        <v>0.247324772137145</v>
      </c>
      <c r="M667" s="5">
        <v>0.247324772137145</v>
      </c>
      <c r="N667" s="5">
        <v>8.98477277359926</v>
      </c>
      <c r="O667" s="5">
        <v>8.98477277359926</v>
      </c>
      <c r="P667" s="5">
        <v>8.98477277359926</v>
      </c>
      <c r="Q667" s="5">
        <v>0.0</v>
      </c>
      <c r="R667" s="5">
        <v>0.0</v>
      </c>
      <c r="S667" s="5">
        <v>0.0</v>
      </c>
      <c r="T667" s="5">
        <v>315.861169058691</v>
      </c>
    </row>
    <row r="668">
      <c r="A668" s="5">
        <v>666.0</v>
      </c>
      <c r="B668" s="6">
        <v>44545.0</v>
      </c>
      <c r="C668" s="5">
        <v>306.940196554195</v>
      </c>
      <c r="D668" s="5">
        <v>272.611948239539</v>
      </c>
      <c r="E668" s="5">
        <v>354.013998240214</v>
      </c>
      <c r="F668" s="5">
        <v>306.940196554195</v>
      </c>
      <c r="G668" s="5">
        <v>306.940196554195</v>
      </c>
      <c r="H668" s="5">
        <v>8.85225440124675</v>
      </c>
      <c r="I668" s="5">
        <v>8.85225440124675</v>
      </c>
      <c r="J668" s="5">
        <v>8.85225440124675</v>
      </c>
      <c r="K668" s="5">
        <v>0.608132553627414</v>
      </c>
      <c r="L668" s="5">
        <v>0.608132553627414</v>
      </c>
      <c r="M668" s="5">
        <v>0.608132553627414</v>
      </c>
      <c r="N668" s="5">
        <v>8.24412184761933</v>
      </c>
      <c r="O668" s="5">
        <v>8.24412184761933</v>
      </c>
      <c r="P668" s="5">
        <v>8.24412184761933</v>
      </c>
      <c r="Q668" s="5">
        <v>0.0</v>
      </c>
      <c r="R668" s="5">
        <v>0.0</v>
      </c>
      <c r="S668" s="5">
        <v>0.0</v>
      </c>
      <c r="T668" s="5">
        <v>315.792450955442</v>
      </c>
    </row>
    <row r="669">
      <c r="A669" s="5">
        <v>667.0</v>
      </c>
      <c r="B669" s="6">
        <v>44546.0</v>
      </c>
      <c r="C669" s="5">
        <v>307.251321595435</v>
      </c>
      <c r="D669" s="5">
        <v>274.068372730619</v>
      </c>
      <c r="E669" s="5">
        <v>355.990876134032</v>
      </c>
      <c r="F669" s="5">
        <v>307.251321595435</v>
      </c>
      <c r="G669" s="5">
        <v>307.251321595435</v>
      </c>
      <c r="H669" s="5">
        <v>7.34727180498536</v>
      </c>
      <c r="I669" s="5">
        <v>7.34727180498536</v>
      </c>
      <c r="J669" s="5">
        <v>7.34727180498536</v>
      </c>
      <c r="K669" s="5">
        <v>-0.225417905349864</v>
      </c>
      <c r="L669" s="5">
        <v>-0.225417905349864</v>
      </c>
      <c r="M669" s="5">
        <v>-0.225417905349864</v>
      </c>
      <c r="N669" s="5">
        <v>7.57268971033523</v>
      </c>
      <c r="O669" s="5">
        <v>7.57268971033523</v>
      </c>
      <c r="P669" s="5">
        <v>7.57268971033523</v>
      </c>
      <c r="Q669" s="5">
        <v>0.0</v>
      </c>
      <c r="R669" s="5">
        <v>0.0</v>
      </c>
      <c r="S669" s="5">
        <v>0.0</v>
      </c>
      <c r="T669" s="5">
        <v>314.59859340042</v>
      </c>
    </row>
    <row r="670">
      <c r="A670" s="5">
        <v>668.0</v>
      </c>
      <c r="B670" s="6">
        <v>44547.0</v>
      </c>
      <c r="C670" s="5">
        <v>307.562446636675</v>
      </c>
      <c r="D670" s="5">
        <v>273.511538119524</v>
      </c>
      <c r="E670" s="5">
        <v>354.703837313231</v>
      </c>
      <c r="F670" s="5">
        <v>307.562446636675</v>
      </c>
      <c r="G670" s="5">
        <v>307.562446636675</v>
      </c>
      <c r="H670" s="5">
        <v>6.24755265556107</v>
      </c>
      <c r="I670" s="5">
        <v>6.24755265556107</v>
      </c>
      <c r="J670" s="5">
        <v>6.24755265556107</v>
      </c>
      <c r="K670" s="5">
        <v>-0.739640081280319</v>
      </c>
      <c r="L670" s="5">
        <v>-0.739640081280319</v>
      </c>
      <c r="M670" s="5">
        <v>-0.739640081280319</v>
      </c>
      <c r="N670" s="5">
        <v>6.98719273684139</v>
      </c>
      <c r="O670" s="5">
        <v>6.98719273684139</v>
      </c>
      <c r="P670" s="5">
        <v>6.98719273684139</v>
      </c>
      <c r="Q670" s="5">
        <v>0.0</v>
      </c>
      <c r="R670" s="5">
        <v>0.0</v>
      </c>
      <c r="S670" s="5">
        <v>0.0</v>
      </c>
      <c r="T670" s="5">
        <v>313.809999292236</v>
      </c>
    </row>
    <row r="671">
      <c r="A671" s="5">
        <v>669.0</v>
      </c>
      <c r="B671" s="6">
        <v>44550.0</v>
      </c>
      <c r="C671" s="5">
        <v>308.495821760395</v>
      </c>
      <c r="D671" s="5">
        <v>276.590099407499</v>
      </c>
      <c r="E671" s="5">
        <v>356.609265607514</v>
      </c>
      <c r="F671" s="5">
        <v>308.495821760395</v>
      </c>
      <c r="G671" s="5">
        <v>308.495821760395</v>
      </c>
      <c r="H671" s="5">
        <v>7.04319905062189</v>
      </c>
      <c r="I671" s="5">
        <v>7.04319905062189</v>
      </c>
      <c r="J671" s="5">
        <v>7.04319905062189</v>
      </c>
      <c r="K671" s="5">
        <v>1.16457933345134</v>
      </c>
      <c r="L671" s="5">
        <v>1.16457933345134</v>
      </c>
      <c r="M671" s="5">
        <v>1.16457933345134</v>
      </c>
      <c r="N671" s="5">
        <v>5.87861971717054</v>
      </c>
      <c r="O671" s="5">
        <v>5.87861971717054</v>
      </c>
      <c r="P671" s="5">
        <v>5.87861971717054</v>
      </c>
      <c r="Q671" s="5">
        <v>0.0</v>
      </c>
      <c r="R671" s="5">
        <v>0.0</v>
      </c>
      <c r="S671" s="5">
        <v>0.0</v>
      </c>
      <c r="T671" s="5">
        <v>315.539020811017</v>
      </c>
    </row>
    <row r="672">
      <c r="A672" s="5">
        <v>670.0</v>
      </c>
      <c r="B672" s="6">
        <v>44551.0</v>
      </c>
      <c r="C672" s="5">
        <v>308.806946801635</v>
      </c>
      <c r="D672" s="5">
        <v>273.676661323256</v>
      </c>
      <c r="E672" s="5">
        <v>355.50063923127</v>
      </c>
      <c r="F672" s="5">
        <v>308.806946801635</v>
      </c>
      <c r="G672" s="5">
        <v>308.806946801635</v>
      </c>
      <c r="H672" s="5">
        <v>6.00217970281093</v>
      </c>
      <c r="I672" s="5">
        <v>6.00217970281093</v>
      </c>
      <c r="J672" s="5">
        <v>6.00217970281093</v>
      </c>
      <c r="K672" s="5">
        <v>0.247324772138656</v>
      </c>
      <c r="L672" s="5">
        <v>0.247324772138656</v>
      </c>
      <c r="M672" s="5">
        <v>0.247324772138656</v>
      </c>
      <c r="N672" s="5">
        <v>5.75485493067228</v>
      </c>
      <c r="O672" s="5">
        <v>5.75485493067228</v>
      </c>
      <c r="P672" s="5">
        <v>5.75485493067228</v>
      </c>
      <c r="Q672" s="5">
        <v>0.0</v>
      </c>
      <c r="R672" s="5">
        <v>0.0</v>
      </c>
      <c r="S672" s="5">
        <v>0.0</v>
      </c>
      <c r="T672" s="5">
        <v>314.809126504446</v>
      </c>
    </row>
    <row r="673">
      <c r="A673" s="5">
        <v>671.0</v>
      </c>
      <c r="B673" s="6">
        <v>44552.0</v>
      </c>
      <c r="C673" s="5">
        <v>309.118071842875</v>
      </c>
      <c r="D673" s="5">
        <v>277.819498609852</v>
      </c>
      <c r="E673" s="5">
        <v>356.678028663466</v>
      </c>
      <c r="F673" s="5">
        <v>309.118071842875</v>
      </c>
      <c r="G673" s="5">
        <v>309.118071842875</v>
      </c>
      <c r="H673" s="5">
        <v>6.36884664057079</v>
      </c>
      <c r="I673" s="5">
        <v>6.36884664057079</v>
      </c>
      <c r="J673" s="5">
        <v>6.36884664057079</v>
      </c>
      <c r="K673" s="5">
        <v>0.608132553626524</v>
      </c>
      <c r="L673" s="5">
        <v>0.608132553626524</v>
      </c>
      <c r="M673" s="5">
        <v>0.608132553626524</v>
      </c>
      <c r="N673" s="5">
        <v>5.76071408694426</v>
      </c>
      <c r="O673" s="5">
        <v>5.76071408694426</v>
      </c>
      <c r="P673" s="5">
        <v>5.76071408694426</v>
      </c>
      <c r="Q673" s="5">
        <v>0.0</v>
      </c>
      <c r="R673" s="5">
        <v>0.0</v>
      </c>
      <c r="S673" s="5">
        <v>0.0</v>
      </c>
      <c r="T673" s="5">
        <v>315.486918483446</v>
      </c>
    </row>
    <row r="674">
      <c r="A674" s="5">
        <v>672.0</v>
      </c>
      <c r="B674" s="6">
        <v>44553.0</v>
      </c>
      <c r="C674" s="5">
        <v>309.429196884116</v>
      </c>
      <c r="D674" s="5">
        <v>273.447531715812</v>
      </c>
      <c r="E674" s="5">
        <v>354.834855434179</v>
      </c>
      <c r="F674" s="5">
        <v>309.429196884116</v>
      </c>
      <c r="G674" s="5">
        <v>309.429196884116</v>
      </c>
      <c r="H674" s="5">
        <v>5.6695875649051</v>
      </c>
      <c r="I674" s="5">
        <v>5.6695875649051</v>
      </c>
      <c r="J674" s="5">
        <v>5.6695875649051</v>
      </c>
      <c r="K674" s="5">
        <v>-0.225417905347517</v>
      </c>
      <c r="L674" s="5">
        <v>-0.225417905347517</v>
      </c>
      <c r="M674" s="5">
        <v>-0.225417905347517</v>
      </c>
      <c r="N674" s="5">
        <v>5.89500547025262</v>
      </c>
      <c r="O674" s="5">
        <v>5.89500547025262</v>
      </c>
      <c r="P674" s="5">
        <v>5.89500547025262</v>
      </c>
      <c r="Q674" s="5">
        <v>0.0</v>
      </c>
      <c r="R674" s="5">
        <v>0.0</v>
      </c>
      <c r="S674" s="5">
        <v>0.0</v>
      </c>
      <c r="T674" s="5">
        <v>315.098784449021</v>
      </c>
    </row>
    <row r="675">
      <c r="A675" s="5">
        <v>673.0</v>
      </c>
      <c r="B675" s="6">
        <v>44557.0</v>
      </c>
      <c r="C675" s="5">
        <v>310.673697049076</v>
      </c>
      <c r="D675" s="5">
        <v>278.191720779975</v>
      </c>
      <c r="E675" s="5">
        <v>357.925698007245</v>
      </c>
      <c r="F675" s="5">
        <v>310.673697049076</v>
      </c>
      <c r="G675" s="5">
        <v>310.673697049076</v>
      </c>
      <c r="H675" s="5">
        <v>8.73577372711646</v>
      </c>
      <c r="I675" s="5">
        <v>8.73577372711646</v>
      </c>
      <c r="J675" s="5">
        <v>8.73577372711646</v>
      </c>
      <c r="K675" s="5">
        <v>1.16457933345158</v>
      </c>
      <c r="L675" s="5">
        <v>1.16457933345158</v>
      </c>
      <c r="M675" s="5">
        <v>1.16457933345158</v>
      </c>
      <c r="N675" s="5">
        <v>7.57119439366488</v>
      </c>
      <c r="O675" s="5">
        <v>7.57119439366488</v>
      </c>
      <c r="P675" s="5">
        <v>7.57119439366488</v>
      </c>
      <c r="Q675" s="5">
        <v>0.0</v>
      </c>
      <c r="R675" s="5">
        <v>0.0</v>
      </c>
      <c r="S675" s="5">
        <v>0.0</v>
      </c>
      <c r="T675" s="5">
        <v>319.409470776192</v>
      </c>
    </row>
    <row r="676">
      <c r="A676" s="5">
        <v>674.0</v>
      </c>
      <c r="B676" s="6">
        <v>44558.0</v>
      </c>
      <c r="C676" s="5">
        <v>310.984822090316</v>
      </c>
      <c r="D676" s="5">
        <v>278.812164299447</v>
      </c>
      <c r="E676" s="5">
        <v>359.933643423343</v>
      </c>
      <c r="F676" s="5">
        <v>310.984822090316</v>
      </c>
      <c r="G676" s="5">
        <v>310.984822090316</v>
      </c>
      <c r="H676" s="5">
        <v>8.4582842858299</v>
      </c>
      <c r="I676" s="5">
        <v>8.4582842858299</v>
      </c>
      <c r="J676" s="5">
        <v>8.4582842858299</v>
      </c>
      <c r="K676" s="5">
        <v>0.247324772140042</v>
      </c>
      <c r="L676" s="5">
        <v>0.247324772140042</v>
      </c>
      <c r="M676" s="5">
        <v>0.247324772140042</v>
      </c>
      <c r="N676" s="5">
        <v>8.21095951368986</v>
      </c>
      <c r="O676" s="5">
        <v>8.21095951368986</v>
      </c>
      <c r="P676" s="5">
        <v>8.21095951368986</v>
      </c>
      <c r="Q676" s="5">
        <v>0.0</v>
      </c>
      <c r="R676" s="5">
        <v>0.0</v>
      </c>
      <c r="S676" s="5">
        <v>0.0</v>
      </c>
      <c r="T676" s="5">
        <v>319.443106376146</v>
      </c>
    </row>
    <row r="677">
      <c r="A677" s="5">
        <v>675.0</v>
      </c>
      <c r="B677" s="6">
        <v>44559.0</v>
      </c>
      <c r="C677" s="5">
        <v>311.295947131556</v>
      </c>
      <c r="D677" s="5">
        <v>281.63937543784</v>
      </c>
      <c r="E677" s="5">
        <v>363.057673880808</v>
      </c>
      <c r="F677" s="5">
        <v>311.295947131556</v>
      </c>
      <c r="G677" s="5">
        <v>311.295947131556</v>
      </c>
      <c r="H677" s="5">
        <v>9.51226663445654</v>
      </c>
      <c r="I677" s="5">
        <v>9.51226663445654</v>
      </c>
      <c r="J677" s="5">
        <v>9.51226663445654</v>
      </c>
      <c r="K677" s="5">
        <v>0.608132553625634</v>
      </c>
      <c r="L677" s="5">
        <v>0.608132553625634</v>
      </c>
      <c r="M677" s="5">
        <v>0.608132553625634</v>
      </c>
      <c r="N677" s="5">
        <v>8.9041340808309</v>
      </c>
      <c r="O677" s="5">
        <v>8.9041340808309</v>
      </c>
      <c r="P677" s="5">
        <v>8.9041340808309</v>
      </c>
      <c r="Q677" s="5">
        <v>0.0</v>
      </c>
      <c r="R677" s="5">
        <v>0.0</v>
      </c>
      <c r="S677" s="5">
        <v>0.0</v>
      </c>
      <c r="T677" s="5">
        <v>320.808213766013</v>
      </c>
    </row>
    <row r="678">
      <c r="A678" s="5">
        <v>676.0</v>
      </c>
      <c r="B678" s="6">
        <v>44560.0</v>
      </c>
      <c r="C678" s="5">
        <v>311.607072172796</v>
      </c>
      <c r="D678" s="5">
        <v>283.072894515645</v>
      </c>
      <c r="E678" s="5">
        <v>361.518378809016</v>
      </c>
      <c r="F678" s="5">
        <v>311.607072172796</v>
      </c>
      <c r="G678" s="5">
        <v>311.607072172796</v>
      </c>
      <c r="H678" s="5">
        <v>9.40447278788662</v>
      </c>
      <c r="I678" s="5">
        <v>9.40447278788662</v>
      </c>
      <c r="J678" s="5">
        <v>9.40447278788662</v>
      </c>
      <c r="K678" s="5">
        <v>-0.225417905350482</v>
      </c>
      <c r="L678" s="5">
        <v>-0.225417905350482</v>
      </c>
      <c r="M678" s="5">
        <v>-0.225417905350482</v>
      </c>
      <c r="N678" s="5">
        <v>9.6298906932371</v>
      </c>
      <c r="O678" s="5">
        <v>9.6298906932371</v>
      </c>
      <c r="P678" s="5">
        <v>9.6298906932371</v>
      </c>
      <c r="Q678" s="5">
        <v>0.0</v>
      </c>
      <c r="R678" s="5">
        <v>0.0</v>
      </c>
      <c r="S678" s="5">
        <v>0.0</v>
      </c>
      <c r="T678" s="5">
        <v>321.011544960683</v>
      </c>
    </row>
    <row r="679">
      <c r="A679" s="5">
        <v>677.0</v>
      </c>
      <c r="B679" s="6">
        <v>44561.0</v>
      </c>
      <c r="C679" s="5">
        <v>311.918197214036</v>
      </c>
      <c r="D679" s="5">
        <v>280.919545271443</v>
      </c>
      <c r="E679" s="5">
        <v>364.825219329277</v>
      </c>
      <c r="F679" s="5">
        <v>311.918197214036</v>
      </c>
      <c r="G679" s="5">
        <v>311.918197214036</v>
      </c>
      <c r="H679" s="5">
        <v>9.62668570287148</v>
      </c>
      <c r="I679" s="5">
        <v>9.62668570287148</v>
      </c>
      <c r="J679" s="5">
        <v>9.62668570287148</v>
      </c>
      <c r="K679" s="5">
        <v>-0.73964008128263</v>
      </c>
      <c r="L679" s="5">
        <v>-0.73964008128263</v>
      </c>
      <c r="M679" s="5">
        <v>-0.73964008128263</v>
      </c>
      <c r="N679" s="5">
        <v>10.3663257841541</v>
      </c>
      <c r="O679" s="5">
        <v>10.3663257841541</v>
      </c>
      <c r="P679" s="5">
        <v>10.3663257841541</v>
      </c>
      <c r="Q679" s="5">
        <v>0.0</v>
      </c>
      <c r="R679" s="5">
        <v>0.0</v>
      </c>
      <c r="S679" s="5">
        <v>0.0</v>
      </c>
      <c r="T679" s="5">
        <v>321.544882916908</v>
      </c>
    </row>
    <row r="680">
      <c r="A680" s="5">
        <v>678.0</v>
      </c>
      <c r="B680" s="6">
        <v>44564.0</v>
      </c>
      <c r="C680" s="5">
        <v>312.851572337757</v>
      </c>
      <c r="D680" s="5">
        <v>282.766087245125</v>
      </c>
      <c r="E680" s="5">
        <v>369.243519876989</v>
      </c>
      <c r="F680" s="5">
        <v>312.851572337757</v>
      </c>
      <c r="G680" s="5">
        <v>312.851572337757</v>
      </c>
      <c r="H680" s="5">
        <v>13.5818435503427</v>
      </c>
      <c r="I680" s="5">
        <v>13.5818435503427</v>
      </c>
      <c r="J680" s="5">
        <v>13.5818435503427</v>
      </c>
      <c r="K680" s="5">
        <v>1.16457933345019</v>
      </c>
      <c r="L680" s="5">
        <v>1.16457933345019</v>
      </c>
      <c r="M680" s="5">
        <v>1.16457933345019</v>
      </c>
      <c r="N680" s="5">
        <v>12.4172642168925</v>
      </c>
      <c r="O680" s="5">
        <v>12.4172642168925</v>
      </c>
      <c r="P680" s="5">
        <v>12.4172642168925</v>
      </c>
      <c r="Q680" s="5">
        <v>0.0</v>
      </c>
      <c r="R680" s="5">
        <v>0.0</v>
      </c>
      <c r="S680" s="5">
        <v>0.0</v>
      </c>
      <c r="T680" s="5">
        <v>326.433415888099</v>
      </c>
    </row>
    <row r="681">
      <c r="A681" s="5">
        <v>679.0</v>
      </c>
      <c r="B681" s="6">
        <v>44565.0</v>
      </c>
      <c r="C681" s="5">
        <v>313.162697378997</v>
      </c>
      <c r="D681" s="5">
        <v>284.109434580396</v>
      </c>
      <c r="E681" s="5">
        <v>365.839873803841</v>
      </c>
      <c r="F681" s="5">
        <v>313.162697378997</v>
      </c>
      <c r="G681" s="5">
        <v>313.162697378997</v>
      </c>
      <c r="H681" s="5">
        <v>13.2245008477999</v>
      </c>
      <c r="I681" s="5">
        <v>13.2245008477999</v>
      </c>
      <c r="J681" s="5">
        <v>13.2245008477999</v>
      </c>
      <c r="K681" s="5">
        <v>0.24732477214013</v>
      </c>
      <c r="L681" s="5">
        <v>0.24732477214013</v>
      </c>
      <c r="M681" s="5">
        <v>0.24732477214013</v>
      </c>
      <c r="N681" s="5">
        <v>12.9771760756598</v>
      </c>
      <c r="O681" s="5">
        <v>12.9771760756598</v>
      </c>
      <c r="P681" s="5">
        <v>12.9771760756598</v>
      </c>
      <c r="Q681" s="5">
        <v>0.0</v>
      </c>
      <c r="R681" s="5">
        <v>0.0</v>
      </c>
      <c r="S681" s="5">
        <v>0.0</v>
      </c>
      <c r="T681" s="5">
        <v>326.387198226797</v>
      </c>
    </row>
    <row r="682">
      <c r="A682" s="5">
        <v>680.0</v>
      </c>
      <c r="B682" s="6">
        <v>44566.0</v>
      </c>
      <c r="C682" s="5">
        <v>313.473822420237</v>
      </c>
      <c r="D682" s="5">
        <v>284.852951961109</v>
      </c>
      <c r="E682" s="5">
        <v>368.651855917003</v>
      </c>
      <c r="F682" s="5">
        <v>313.473822420237</v>
      </c>
      <c r="G682" s="5">
        <v>313.473822420237</v>
      </c>
      <c r="H682" s="5">
        <v>14.0515878882996</v>
      </c>
      <c r="I682" s="5">
        <v>14.0515878882996</v>
      </c>
      <c r="J682" s="5">
        <v>14.0515878882996</v>
      </c>
      <c r="K682" s="5">
        <v>0.608132553627413</v>
      </c>
      <c r="L682" s="5">
        <v>0.608132553627413</v>
      </c>
      <c r="M682" s="5">
        <v>0.608132553627413</v>
      </c>
      <c r="N682" s="5">
        <v>13.4434553346722</v>
      </c>
      <c r="O682" s="5">
        <v>13.4434553346722</v>
      </c>
      <c r="P682" s="5">
        <v>13.4434553346722</v>
      </c>
      <c r="Q682" s="5">
        <v>0.0</v>
      </c>
      <c r="R682" s="5">
        <v>0.0</v>
      </c>
      <c r="S682" s="5">
        <v>0.0</v>
      </c>
      <c r="T682" s="5">
        <v>327.525410308536</v>
      </c>
    </row>
    <row r="683">
      <c r="A683" s="5">
        <v>681.0</v>
      </c>
      <c r="B683" s="6">
        <v>44567.0</v>
      </c>
      <c r="C683" s="5">
        <v>313.784947461477</v>
      </c>
      <c r="D683" s="5">
        <v>287.982422134598</v>
      </c>
      <c r="E683" s="5">
        <v>365.794984451405</v>
      </c>
      <c r="F683" s="5">
        <v>313.784947461477</v>
      </c>
      <c r="G683" s="5">
        <v>313.784947461477</v>
      </c>
      <c r="H683" s="5">
        <v>13.5750155015887</v>
      </c>
      <c r="I683" s="5">
        <v>13.5750155015887</v>
      </c>
      <c r="J683" s="5">
        <v>13.5750155015887</v>
      </c>
      <c r="K683" s="5">
        <v>-0.225417905350061</v>
      </c>
      <c r="L683" s="5">
        <v>-0.225417905350061</v>
      </c>
      <c r="M683" s="5">
        <v>-0.225417905350061</v>
      </c>
      <c r="N683" s="5">
        <v>13.8004334069388</v>
      </c>
      <c r="O683" s="5">
        <v>13.8004334069388</v>
      </c>
      <c r="P683" s="5">
        <v>13.8004334069388</v>
      </c>
      <c r="Q683" s="5">
        <v>0.0</v>
      </c>
      <c r="R683" s="5">
        <v>0.0</v>
      </c>
      <c r="S683" s="5">
        <v>0.0</v>
      </c>
      <c r="T683" s="5">
        <v>327.359962963066</v>
      </c>
    </row>
    <row r="684">
      <c r="A684" s="5">
        <v>682.0</v>
      </c>
      <c r="B684" s="6">
        <v>44568.0</v>
      </c>
      <c r="C684" s="5">
        <v>314.096072502717</v>
      </c>
      <c r="D684" s="5">
        <v>288.482852333752</v>
      </c>
      <c r="E684" s="5">
        <v>365.717481551885</v>
      </c>
      <c r="F684" s="5">
        <v>314.096072502717</v>
      </c>
      <c r="G684" s="5">
        <v>314.096072502717</v>
      </c>
      <c r="H684" s="5">
        <v>13.2957358254899</v>
      </c>
      <c r="I684" s="5">
        <v>13.2957358254899</v>
      </c>
      <c r="J684" s="5">
        <v>13.2957358254899</v>
      </c>
      <c r="K684" s="5">
        <v>-0.739640081280353</v>
      </c>
      <c r="L684" s="5">
        <v>-0.739640081280353</v>
      </c>
      <c r="M684" s="5">
        <v>-0.739640081280353</v>
      </c>
      <c r="N684" s="5">
        <v>14.0353759067702</v>
      </c>
      <c r="O684" s="5">
        <v>14.0353759067702</v>
      </c>
      <c r="P684" s="5">
        <v>14.0353759067702</v>
      </c>
      <c r="Q684" s="5">
        <v>0.0</v>
      </c>
      <c r="R684" s="5">
        <v>0.0</v>
      </c>
      <c r="S684" s="5">
        <v>0.0</v>
      </c>
      <c r="T684" s="5">
        <v>327.391808328207</v>
      </c>
    </row>
    <row r="685">
      <c r="A685" s="5">
        <v>683.0</v>
      </c>
      <c r="B685" s="6">
        <v>44571.0</v>
      </c>
      <c r="C685" s="5">
        <v>315.029447626437</v>
      </c>
      <c r="D685" s="5">
        <v>290.190344272374</v>
      </c>
      <c r="E685" s="5">
        <v>372.775971643833</v>
      </c>
      <c r="F685" s="5">
        <v>315.029447626437</v>
      </c>
      <c r="G685" s="5">
        <v>315.029447626437</v>
      </c>
      <c r="H685" s="5">
        <v>15.0966334708496</v>
      </c>
      <c r="I685" s="5">
        <v>15.0966334708496</v>
      </c>
      <c r="J685" s="5">
        <v>15.0966334708496</v>
      </c>
      <c r="K685" s="5">
        <v>1.16457933345042</v>
      </c>
      <c r="L685" s="5">
        <v>1.16457933345042</v>
      </c>
      <c r="M685" s="5">
        <v>1.16457933345042</v>
      </c>
      <c r="N685" s="5">
        <v>13.9320541373992</v>
      </c>
      <c r="O685" s="5">
        <v>13.9320541373992</v>
      </c>
      <c r="P685" s="5">
        <v>13.9320541373992</v>
      </c>
      <c r="Q685" s="5">
        <v>0.0</v>
      </c>
      <c r="R685" s="5">
        <v>0.0</v>
      </c>
      <c r="S685" s="5">
        <v>0.0</v>
      </c>
      <c r="T685" s="5">
        <v>330.126081097287</v>
      </c>
    </row>
    <row r="686">
      <c r="A686" s="5">
        <v>684.0</v>
      </c>
      <c r="B686" s="6">
        <v>44572.0</v>
      </c>
      <c r="C686" s="5">
        <v>315.340572667677</v>
      </c>
      <c r="D686" s="5">
        <v>289.489803506283</v>
      </c>
      <c r="E686" s="5">
        <v>370.262625517665</v>
      </c>
      <c r="F686" s="5">
        <v>315.340572667677</v>
      </c>
      <c r="G686" s="5">
        <v>315.340572667677</v>
      </c>
      <c r="H686" s="5">
        <v>13.8689625093676</v>
      </c>
      <c r="I686" s="5">
        <v>13.8689625093676</v>
      </c>
      <c r="J686" s="5">
        <v>13.8689625093676</v>
      </c>
      <c r="K686" s="5">
        <v>0.247324772138796</v>
      </c>
      <c r="L686" s="5">
        <v>0.247324772138796</v>
      </c>
      <c r="M686" s="5">
        <v>0.247324772138796</v>
      </c>
      <c r="N686" s="5">
        <v>13.6216377372288</v>
      </c>
      <c r="O686" s="5">
        <v>13.6216377372288</v>
      </c>
      <c r="P686" s="5">
        <v>13.6216377372288</v>
      </c>
      <c r="Q686" s="5">
        <v>0.0</v>
      </c>
      <c r="R686" s="5">
        <v>0.0</v>
      </c>
      <c r="S686" s="5">
        <v>0.0</v>
      </c>
      <c r="T686" s="5">
        <v>329.209535177045</v>
      </c>
    </row>
    <row r="687">
      <c r="A687" s="5">
        <v>685.0</v>
      </c>
      <c r="B687" s="6">
        <v>44573.0</v>
      </c>
      <c r="C687" s="5">
        <v>315.651697708917</v>
      </c>
      <c r="D687" s="5">
        <v>289.335144928889</v>
      </c>
      <c r="E687" s="5">
        <v>369.865638219714</v>
      </c>
      <c r="F687" s="5">
        <v>315.651697708917</v>
      </c>
      <c r="G687" s="5">
        <v>315.651697708917</v>
      </c>
      <c r="H687" s="5">
        <v>13.787737616262</v>
      </c>
      <c r="I687" s="5">
        <v>13.787737616262</v>
      </c>
      <c r="J687" s="5">
        <v>13.787737616262</v>
      </c>
      <c r="K687" s="5">
        <v>0.608132553623855</v>
      </c>
      <c r="L687" s="5">
        <v>0.608132553623855</v>
      </c>
      <c r="M687" s="5">
        <v>0.608132553623855</v>
      </c>
      <c r="N687" s="5">
        <v>13.1796050626382</v>
      </c>
      <c r="O687" s="5">
        <v>13.1796050626382</v>
      </c>
      <c r="P687" s="5">
        <v>13.1796050626382</v>
      </c>
      <c r="Q687" s="5">
        <v>0.0</v>
      </c>
      <c r="R687" s="5">
        <v>0.0</v>
      </c>
      <c r="S687" s="5">
        <v>0.0</v>
      </c>
      <c r="T687" s="5">
        <v>329.439435325179</v>
      </c>
    </row>
    <row r="688">
      <c r="A688" s="5">
        <v>686.0</v>
      </c>
      <c r="B688" s="6">
        <v>44574.0</v>
      </c>
      <c r="C688" s="5">
        <v>315.582046562584</v>
      </c>
      <c r="D688" s="5">
        <v>287.47161429569</v>
      </c>
      <c r="E688" s="5">
        <v>369.490645561216</v>
      </c>
      <c r="F688" s="5">
        <v>315.582046562584</v>
      </c>
      <c r="G688" s="5">
        <v>315.582046562584</v>
      </c>
      <c r="H688" s="5">
        <v>12.3900444780935</v>
      </c>
      <c r="I688" s="5">
        <v>12.3900444780935</v>
      </c>
      <c r="J688" s="5">
        <v>12.3900444780935</v>
      </c>
      <c r="K688" s="5">
        <v>-0.22541790534964</v>
      </c>
      <c r="L688" s="5">
        <v>-0.22541790534964</v>
      </c>
      <c r="M688" s="5">
        <v>-0.22541790534964</v>
      </c>
      <c r="N688" s="5">
        <v>12.6154623834432</v>
      </c>
      <c r="O688" s="5">
        <v>12.6154623834432</v>
      </c>
      <c r="P688" s="5">
        <v>12.6154623834432</v>
      </c>
      <c r="Q688" s="5">
        <v>0.0</v>
      </c>
      <c r="R688" s="5">
        <v>0.0</v>
      </c>
      <c r="S688" s="5">
        <v>0.0</v>
      </c>
      <c r="T688" s="5">
        <v>327.972091040677</v>
      </c>
    </row>
    <row r="689">
      <c r="A689" s="5">
        <v>687.0</v>
      </c>
      <c r="B689" s="6">
        <v>44575.0</v>
      </c>
      <c r="C689" s="5">
        <v>315.51239541625</v>
      </c>
      <c r="D689" s="5">
        <v>284.252160369697</v>
      </c>
      <c r="E689" s="5">
        <v>369.208833434758</v>
      </c>
      <c r="F689" s="5">
        <v>315.51239541625</v>
      </c>
      <c r="G689" s="5">
        <v>315.51239541625</v>
      </c>
      <c r="H689" s="5">
        <v>11.2025853139121</v>
      </c>
      <c r="I689" s="5">
        <v>11.2025853139121</v>
      </c>
      <c r="J689" s="5">
        <v>11.2025853139121</v>
      </c>
      <c r="K689" s="5">
        <v>-0.73964008128288</v>
      </c>
      <c r="L689" s="5">
        <v>-0.73964008128288</v>
      </c>
      <c r="M689" s="5">
        <v>-0.73964008128288</v>
      </c>
      <c r="N689" s="5">
        <v>11.942225395195</v>
      </c>
      <c r="O689" s="5">
        <v>11.942225395195</v>
      </c>
      <c r="P689" s="5">
        <v>11.942225395195</v>
      </c>
      <c r="Q689" s="5">
        <v>0.0</v>
      </c>
      <c r="R689" s="5">
        <v>0.0</v>
      </c>
      <c r="S689" s="5">
        <v>0.0</v>
      </c>
      <c r="T689" s="5">
        <v>326.714980730163</v>
      </c>
    </row>
    <row r="690">
      <c r="A690" s="5">
        <v>688.0</v>
      </c>
      <c r="B690" s="6">
        <v>44579.0</v>
      </c>
      <c r="C690" s="5">
        <v>315.233790830917</v>
      </c>
      <c r="D690" s="5">
        <v>283.321779076693</v>
      </c>
      <c r="E690" s="5">
        <v>365.681232328916</v>
      </c>
      <c r="F690" s="5">
        <v>315.233790830917</v>
      </c>
      <c r="G690" s="5">
        <v>315.233790830917</v>
      </c>
      <c r="H690" s="5">
        <v>8.76746268420386</v>
      </c>
      <c r="I690" s="5">
        <v>8.76746268420386</v>
      </c>
      <c r="J690" s="5">
        <v>8.76746268420386</v>
      </c>
      <c r="K690" s="5">
        <v>0.247324772137461</v>
      </c>
      <c r="L690" s="5">
        <v>0.247324772137461</v>
      </c>
      <c r="M690" s="5">
        <v>0.247324772137461</v>
      </c>
      <c r="N690" s="5">
        <v>8.52013791206639</v>
      </c>
      <c r="O690" s="5">
        <v>8.52013791206639</v>
      </c>
      <c r="P690" s="5">
        <v>8.52013791206639</v>
      </c>
      <c r="Q690" s="5">
        <v>0.0</v>
      </c>
      <c r="R690" s="5">
        <v>0.0</v>
      </c>
      <c r="S690" s="5">
        <v>0.0</v>
      </c>
      <c r="T690" s="5">
        <v>324.00125351512</v>
      </c>
    </row>
    <row r="691">
      <c r="A691" s="5">
        <v>689.0</v>
      </c>
      <c r="B691" s="6">
        <v>44580.0</v>
      </c>
      <c r="C691" s="5">
        <v>315.164139684583</v>
      </c>
      <c r="D691" s="5">
        <v>284.565966469829</v>
      </c>
      <c r="E691" s="5">
        <v>363.172050096461</v>
      </c>
      <c r="F691" s="5">
        <v>315.164139684583</v>
      </c>
      <c r="G691" s="5">
        <v>315.164139684583</v>
      </c>
      <c r="H691" s="5">
        <v>8.19921981247039</v>
      </c>
      <c r="I691" s="5">
        <v>8.19921981247039</v>
      </c>
      <c r="J691" s="5">
        <v>8.19921981247039</v>
      </c>
      <c r="K691" s="5">
        <v>0.608132553627188</v>
      </c>
      <c r="L691" s="5">
        <v>0.608132553627188</v>
      </c>
      <c r="M691" s="5">
        <v>0.608132553627188</v>
      </c>
      <c r="N691" s="5">
        <v>7.5910872588432</v>
      </c>
      <c r="O691" s="5">
        <v>7.5910872588432</v>
      </c>
      <c r="P691" s="5">
        <v>7.5910872588432</v>
      </c>
      <c r="Q691" s="5">
        <v>0.0</v>
      </c>
      <c r="R691" s="5">
        <v>0.0</v>
      </c>
      <c r="S691" s="5">
        <v>0.0</v>
      </c>
      <c r="T691" s="5">
        <v>323.363359497053</v>
      </c>
    </row>
    <row r="692">
      <c r="A692" s="5">
        <v>690.0</v>
      </c>
      <c r="B692" s="6">
        <v>44581.0</v>
      </c>
      <c r="C692" s="5">
        <v>315.09448853825</v>
      </c>
      <c r="D692" s="5">
        <v>282.365875741156</v>
      </c>
      <c r="E692" s="5">
        <v>363.478281835537</v>
      </c>
      <c r="F692" s="5">
        <v>315.09448853825</v>
      </c>
      <c r="G692" s="5">
        <v>315.09448853825</v>
      </c>
      <c r="H692" s="5">
        <v>6.45467435224122</v>
      </c>
      <c r="I692" s="5">
        <v>6.45467435224122</v>
      </c>
      <c r="J692" s="5">
        <v>6.45467435224122</v>
      </c>
      <c r="K692" s="5">
        <v>-0.225417905349219</v>
      </c>
      <c r="L692" s="5">
        <v>-0.225417905349219</v>
      </c>
      <c r="M692" s="5">
        <v>-0.225417905349219</v>
      </c>
      <c r="N692" s="5">
        <v>6.68009225759044</v>
      </c>
      <c r="O692" s="5">
        <v>6.68009225759044</v>
      </c>
      <c r="P692" s="5">
        <v>6.68009225759044</v>
      </c>
      <c r="Q692" s="5">
        <v>0.0</v>
      </c>
      <c r="R692" s="5">
        <v>0.0</v>
      </c>
      <c r="S692" s="5">
        <v>0.0</v>
      </c>
      <c r="T692" s="5">
        <v>321.549162890491</v>
      </c>
    </row>
    <row r="693">
      <c r="A693" s="5">
        <v>691.0</v>
      </c>
      <c r="B693" s="6">
        <v>44582.0</v>
      </c>
      <c r="C693" s="5">
        <v>315.024837391916</v>
      </c>
      <c r="D693" s="5">
        <v>278.766600639768</v>
      </c>
      <c r="E693" s="5">
        <v>362.119305697641</v>
      </c>
      <c r="F693" s="5">
        <v>315.024837391916</v>
      </c>
      <c r="G693" s="5">
        <v>315.024837391916</v>
      </c>
      <c r="H693" s="5">
        <v>5.07138135236174</v>
      </c>
      <c r="I693" s="5">
        <v>5.07138135236174</v>
      </c>
      <c r="J693" s="5">
        <v>5.07138135236174</v>
      </c>
      <c r="K693" s="5">
        <v>-0.739640081280603</v>
      </c>
      <c r="L693" s="5">
        <v>-0.739640081280603</v>
      </c>
      <c r="M693" s="5">
        <v>-0.739640081280603</v>
      </c>
      <c r="N693" s="5">
        <v>5.81102143364234</v>
      </c>
      <c r="O693" s="5">
        <v>5.81102143364234</v>
      </c>
      <c r="P693" s="5">
        <v>5.81102143364234</v>
      </c>
      <c r="Q693" s="5">
        <v>0.0</v>
      </c>
      <c r="R693" s="5">
        <v>0.0</v>
      </c>
      <c r="S693" s="5">
        <v>0.0</v>
      </c>
      <c r="T693" s="5">
        <v>320.096218744278</v>
      </c>
    </row>
    <row r="694">
      <c r="A694" s="5">
        <v>692.0</v>
      </c>
      <c r="B694" s="6">
        <v>44585.0</v>
      </c>
      <c r="C694" s="5">
        <v>314.815883952916</v>
      </c>
      <c r="D694" s="5">
        <v>281.32155953017</v>
      </c>
      <c r="E694" s="5">
        <v>361.201795380244</v>
      </c>
      <c r="F694" s="5">
        <v>314.815883952916</v>
      </c>
      <c r="G694" s="5">
        <v>314.815883952916</v>
      </c>
      <c r="H694" s="5">
        <v>4.83946721093572</v>
      </c>
      <c r="I694" s="5">
        <v>4.83946721093572</v>
      </c>
      <c r="J694" s="5">
        <v>4.83946721093572</v>
      </c>
      <c r="K694" s="5">
        <v>1.16457933344948</v>
      </c>
      <c r="L694" s="5">
        <v>1.16457933344948</v>
      </c>
      <c r="M694" s="5">
        <v>1.16457933344948</v>
      </c>
      <c r="N694" s="5">
        <v>3.67488787748624</v>
      </c>
      <c r="O694" s="5">
        <v>3.67488787748624</v>
      </c>
      <c r="P694" s="5">
        <v>3.67488787748624</v>
      </c>
      <c r="Q694" s="5">
        <v>0.0</v>
      </c>
      <c r="R694" s="5">
        <v>0.0</v>
      </c>
      <c r="S694" s="5">
        <v>0.0</v>
      </c>
      <c r="T694" s="5">
        <v>319.655351163851</v>
      </c>
    </row>
    <row r="695">
      <c r="A695" s="5">
        <v>693.0</v>
      </c>
      <c r="B695" s="6">
        <v>44586.0</v>
      </c>
      <c r="C695" s="5">
        <v>314.746232806582</v>
      </c>
      <c r="D695" s="5">
        <v>279.435037192068</v>
      </c>
      <c r="E695" s="5">
        <v>357.028662843728</v>
      </c>
      <c r="F695" s="5">
        <v>314.746232806582</v>
      </c>
      <c r="G695" s="5">
        <v>314.746232806582</v>
      </c>
      <c r="H695" s="5">
        <v>3.42954001487664</v>
      </c>
      <c r="I695" s="5">
        <v>3.42954001487664</v>
      </c>
      <c r="J695" s="5">
        <v>3.42954001487664</v>
      </c>
      <c r="K695" s="5">
        <v>0.247324772138972</v>
      </c>
      <c r="L695" s="5">
        <v>0.247324772138972</v>
      </c>
      <c r="M695" s="5">
        <v>0.247324772138972</v>
      </c>
      <c r="N695" s="5">
        <v>3.18221524273767</v>
      </c>
      <c r="O695" s="5">
        <v>3.18221524273767</v>
      </c>
      <c r="P695" s="5">
        <v>3.18221524273767</v>
      </c>
      <c r="Q695" s="5">
        <v>0.0</v>
      </c>
      <c r="R695" s="5">
        <v>0.0</v>
      </c>
      <c r="S695" s="5">
        <v>0.0</v>
      </c>
      <c r="T695" s="5">
        <v>318.175772821459</v>
      </c>
    </row>
    <row r="696">
      <c r="A696" s="5">
        <v>694.0</v>
      </c>
      <c r="B696" s="6">
        <v>44587.0</v>
      </c>
      <c r="C696" s="5">
        <v>314.676581660249</v>
      </c>
      <c r="D696" s="5">
        <v>276.958923212688</v>
      </c>
      <c r="E696" s="5">
        <v>358.453827873641</v>
      </c>
      <c r="F696" s="5">
        <v>314.676581660249</v>
      </c>
      <c r="G696" s="5">
        <v>314.676581660249</v>
      </c>
      <c r="H696" s="5">
        <v>3.43114279085599</v>
      </c>
      <c r="I696" s="5">
        <v>3.43114279085599</v>
      </c>
      <c r="J696" s="5">
        <v>3.43114279085599</v>
      </c>
      <c r="K696" s="5">
        <v>0.608132553626298</v>
      </c>
      <c r="L696" s="5">
        <v>0.608132553626298</v>
      </c>
      <c r="M696" s="5">
        <v>0.608132553626298</v>
      </c>
      <c r="N696" s="5">
        <v>2.82301023722969</v>
      </c>
      <c r="O696" s="5">
        <v>2.82301023722969</v>
      </c>
      <c r="P696" s="5">
        <v>2.82301023722969</v>
      </c>
      <c r="Q696" s="5">
        <v>0.0</v>
      </c>
      <c r="R696" s="5">
        <v>0.0</v>
      </c>
      <c r="S696" s="5">
        <v>0.0</v>
      </c>
      <c r="T696" s="5">
        <v>318.107724451105</v>
      </c>
    </row>
    <row r="697">
      <c r="A697" s="5">
        <v>695.0</v>
      </c>
      <c r="B697" s="6">
        <v>44588.0</v>
      </c>
      <c r="C697" s="5">
        <v>314.606930513915</v>
      </c>
      <c r="D697" s="5">
        <v>277.495322102794</v>
      </c>
      <c r="E697" s="5">
        <v>355.48408511899</v>
      </c>
      <c r="F697" s="5">
        <v>314.606930513915</v>
      </c>
      <c r="G697" s="5">
        <v>314.606930513915</v>
      </c>
      <c r="H697" s="5">
        <v>2.38071184512337</v>
      </c>
      <c r="I697" s="5">
        <v>2.38071184512337</v>
      </c>
      <c r="J697" s="5">
        <v>2.38071184512337</v>
      </c>
      <c r="K697" s="5">
        <v>-0.225417905352184</v>
      </c>
      <c r="L697" s="5">
        <v>-0.225417905352184</v>
      </c>
      <c r="M697" s="5">
        <v>-0.225417905352184</v>
      </c>
      <c r="N697" s="5">
        <v>2.60612975047556</v>
      </c>
      <c r="O697" s="5">
        <v>2.60612975047556</v>
      </c>
      <c r="P697" s="5">
        <v>2.60612975047556</v>
      </c>
      <c r="Q697" s="5">
        <v>0.0</v>
      </c>
      <c r="R697" s="5">
        <v>0.0</v>
      </c>
      <c r="S697" s="5">
        <v>0.0</v>
      </c>
      <c r="T697" s="5">
        <v>316.987642359039</v>
      </c>
    </row>
    <row r="698">
      <c r="A698" s="5">
        <v>696.0</v>
      </c>
      <c r="B698" s="6">
        <v>44589.0</v>
      </c>
      <c r="C698" s="5">
        <v>314.537279367582</v>
      </c>
      <c r="D698" s="5">
        <v>275.506821268374</v>
      </c>
      <c r="E698" s="5">
        <v>356.981038864157</v>
      </c>
      <c r="F698" s="5">
        <v>314.537279367582</v>
      </c>
      <c r="G698" s="5">
        <v>314.537279367582</v>
      </c>
      <c r="H698" s="5">
        <v>1.79670207609059</v>
      </c>
      <c r="I698" s="5">
        <v>1.79670207609059</v>
      </c>
      <c r="J698" s="5">
        <v>1.79670207609059</v>
      </c>
      <c r="K698" s="5">
        <v>-0.739640081281759</v>
      </c>
      <c r="L698" s="5">
        <v>-0.739640081281759</v>
      </c>
      <c r="M698" s="5">
        <v>-0.739640081281759</v>
      </c>
      <c r="N698" s="5">
        <v>2.53634215737235</v>
      </c>
      <c r="O698" s="5">
        <v>2.53634215737235</v>
      </c>
      <c r="P698" s="5">
        <v>2.53634215737235</v>
      </c>
      <c r="Q698" s="5">
        <v>0.0</v>
      </c>
      <c r="R698" s="5">
        <v>0.0</v>
      </c>
      <c r="S698" s="5">
        <v>0.0</v>
      </c>
      <c r="T698" s="5">
        <v>316.333981443672</v>
      </c>
    </row>
    <row r="699">
      <c r="A699" s="5">
        <v>697.0</v>
      </c>
      <c r="B699" s="6">
        <v>44592.0</v>
      </c>
      <c r="C699" s="5">
        <v>314.328325928581</v>
      </c>
      <c r="D699" s="5">
        <v>276.274825717184</v>
      </c>
      <c r="E699" s="5">
        <v>358.800375983126</v>
      </c>
      <c r="F699" s="5">
        <v>314.328325928581</v>
      </c>
      <c r="G699" s="5">
        <v>314.328325928581</v>
      </c>
      <c r="H699" s="5">
        <v>4.3570275139518</v>
      </c>
      <c r="I699" s="5">
        <v>4.3570275139518</v>
      </c>
      <c r="J699" s="5">
        <v>4.3570275139518</v>
      </c>
      <c r="K699" s="5">
        <v>1.16457933344981</v>
      </c>
      <c r="L699" s="5">
        <v>1.16457933344981</v>
      </c>
      <c r="M699" s="5">
        <v>1.16457933344981</v>
      </c>
      <c r="N699" s="5">
        <v>3.19244818050198</v>
      </c>
      <c r="O699" s="5">
        <v>3.19244818050198</v>
      </c>
      <c r="P699" s="5">
        <v>3.19244818050198</v>
      </c>
      <c r="Q699" s="5">
        <v>0.0</v>
      </c>
      <c r="R699" s="5">
        <v>0.0</v>
      </c>
      <c r="S699" s="5">
        <v>0.0</v>
      </c>
      <c r="T699" s="5">
        <v>318.685353442533</v>
      </c>
    </row>
    <row r="700">
      <c r="A700" s="5">
        <v>698.0</v>
      </c>
      <c r="B700" s="6">
        <v>44593.0</v>
      </c>
      <c r="C700" s="5">
        <v>314.258674782248</v>
      </c>
      <c r="D700" s="5">
        <v>278.741456118764</v>
      </c>
      <c r="E700" s="5">
        <v>359.809689733423</v>
      </c>
      <c r="F700" s="5">
        <v>314.258674782248</v>
      </c>
      <c r="G700" s="5">
        <v>314.258674782248</v>
      </c>
      <c r="H700" s="5">
        <v>3.91961679735643</v>
      </c>
      <c r="I700" s="5">
        <v>3.91961679735643</v>
      </c>
      <c r="J700" s="5">
        <v>3.91961679735643</v>
      </c>
      <c r="K700" s="5">
        <v>0.247324772137638</v>
      </c>
      <c r="L700" s="5">
        <v>0.247324772137638</v>
      </c>
      <c r="M700" s="5">
        <v>0.247324772137638</v>
      </c>
      <c r="N700" s="5">
        <v>3.6722920252188</v>
      </c>
      <c r="O700" s="5">
        <v>3.6722920252188</v>
      </c>
      <c r="P700" s="5">
        <v>3.6722920252188</v>
      </c>
      <c r="Q700" s="5">
        <v>0.0</v>
      </c>
      <c r="R700" s="5">
        <v>0.0</v>
      </c>
      <c r="S700" s="5">
        <v>0.0</v>
      </c>
      <c r="T700" s="5">
        <v>318.178291579604</v>
      </c>
    </row>
    <row r="701">
      <c r="A701" s="5">
        <v>699.0</v>
      </c>
      <c r="B701" s="6">
        <v>44594.0</v>
      </c>
      <c r="C701" s="5">
        <v>314.189023635914</v>
      </c>
      <c r="D701" s="5">
        <v>277.639202639969</v>
      </c>
      <c r="E701" s="5">
        <v>361.51508538671</v>
      </c>
      <c r="F701" s="5">
        <v>314.189023635914</v>
      </c>
      <c r="G701" s="5">
        <v>314.189023635914</v>
      </c>
      <c r="H701" s="5">
        <v>4.86685936539488</v>
      </c>
      <c r="I701" s="5">
        <v>4.86685936539488</v>
      </c>
      <c r="J701" s="5">
        <v>4.86685936539488</v>
      </c>
      <c r="K701" s="5">
        <v>0.608132553628077</v>
      </c>
      <c r="L701" s="5">
        <v>0.608132553628077</v>
      </c>
      <c r="M701" s="5">
        <v>0.608132553628077</v>
      </c>
      <c r="N701" s="5">
        <v>4.2587268117668</v>
      </c>
      <c r="O701" s="5">
        <v>4.2587268117668</v>
      </c>
      <c r="P701" s="5">
        <v>4.2587268117668</v>
      </c>
      <c r="Q701" s="5">
        <v>0.0</v>
      </c>
      <c r="R701" s="5">
        <v>0.0</v>
      </c>
      <c r="S701" s="5">
        <v>0.0</v>
      </c>
      <c r="T701" s="5">
        <v>319.055883001309</v>
      </c>
    </row>
    <row r="702">
      <c r="A702" s="5">
        <v>700.0</v>
      </c>
      <c r="B702" s="6">
        <v>44595.0</v>
      </c>
      <c r="C702" s="5">
        <v>314.119372489581</v>
      </c>
      <c r="D702" s="5">
        <v>282.400559421178</v>
      </c>
      <c r="E702" s="5">
        <v>356.851455058665</v>
      </c>
      <c r="F702" s="5">
        <v>314.119372489581</v>
      </c>
      <c r="G702" s="5">
        <v>314.119372489581</v>
      </c>
      <c r="H702" s="5">
        <v>4.70639430230642</v>
      </c>
      <c r="I702" s="5">
        <v>4.70639430230642</v>
      </c>
      <c r="J702" s="5">
        <v>4.70639430230642</v>
      </c>
      <c r="K702" s="5">
        <v>-0.225417905348377</v>
      </c>
      <c r="L702" s="5">
        <v>-0.225417905348377</v>
      </c>
      <c r="M702" s="5">
        <v>-0.225417905348377</v>
      </c>
      <c r="N702" s="5">
        <v>4.9318122076548</v>
      </c>
      <c r="O702" s="5">
        <v>4.9318122076548</v>
      </c>
      <c r="P702" s="5">
        <v>4.9318122076548</v>
      </c>
      <c r="Q702" s="5">
        <v>0.0</v>
      </c>
      <c r="R702" s="5">
        <v>0.0</v>
      </c>
      <c r="S702" s="5">
        <v>0.0</v>
      </c>
      <c r="T702" s="5">
        <v>318.825766791887</v>
      </c>
    </row>
    <row r="703">
      <c r="A703" s="5">
        <v>701.0</v>
      </c>
      <c r="B703" s="6">
        <v>44596.0</v>
      </c>
      <c r="C703" s="5">
        <v>314.049721343247</v>
      </c>
      <c r="D703" s="5">
        <v>279.016214317556</v>
      </c>
      <c r="E703" s="5">
        <v>359.725614871353</v>
      </c>
      <c r="F703" s="5">
        <v>314.049721343247</v>
      </c>
      <c r="G703" s="5">
        <v>314.049721343247</v>
      </c>
      <c r="H703" s="5">
        <v>4.9288836913808</v>
      </c>
      <c r="I703" s="5">
        <v>4.9288836913808</v>
      </c>
      <c r="J703" s="5">
        <v>4.9288836913808</v>
      </c>
      <c r="K703" s="5">
        <v>-0.739640081280853</v>
      </c>
      <c r="L703" s="5">
        <v>-0.739640081280853</v>
      </c>
      <c r="M703" s="5">
        <v>-0.739640081280853</v>
      </c>
      <c r="N703" s="5">
        <v>5.66852377266165</v>
      </c>
      <c r="O703" s="5">
        <v>5.66852377266165</v>
      </c>
      <c r="P703" s="5">
        <v>5.66852377266165</v>
      </c>
      <c r="Q703" s="5">
        <v>0.0</v>
      </c>
      <c r="R703" s="5">
        <v>0.0</v>
      </c>
      <c r="S703" s="5">
        <v>0.0</v>
      </c>
      <c r="T703" s="5">
        <v>318.978605034628</v>
      </c>
    </row>
    <row r="704">
      <c r="A704" s="5">
        <v>702.0</v>
      </c>
      <c r="B704" s="6">
        <v>44599.0</v>
      </c>
      <c r="C704" s="5">
        <v>313.840767904247</v>
      </c>
      <c r="D704" s="5">
        <v>285.434158785868</v>
      </c>
      <c r="E704" s="5">
        <v>362.478619733665</v>
      </c>
      <c r="F704" s="5">
        <v>313.840767904247</v>
      </c>
      <c r="G704" s="5">
        <v>313.840767904247</v>
      </c>
      <c r="H704" s="5">
        <v>9.16082465094277</v>
      </c>
      <c r="I704" s="5">
        <v>9.16082465094277</v>
      </c>
      <c r="J704" s="5">
        <v>9.16082465094277</v>
      </c>
      <c r="K704" s="5">
        <v>1.16457933345005</v>
      </c>
      <c r="L704" s="5">
        <v>1.16457933345005</v>
      </c>
      <c r="M704" s="5">
        <v>1.16457933345005</v>
      </c>
      <c r="N704" s="5">
        <v>7.99624531749272</v>
      </c>
      <c r="O704" s="5">
        <v>7.99624531749272</v>
      </c>
      <c r="P704" s="5">
        <v>7.99624531749272</v>
      </c>
      <c r="Q704" s="5">
        <v>0.0</v>
      </c>
      <c r="R704" s="5">
        <v>0.0</v>
      </c>
      <c r="S704" s="5">
        <v>0.0</v>
      </c>
      <c r="T704" s="5">
        <v>323.00159255519</v>
      </c>
    </row>
    <row r="705">
      <c r="A705" s="5">
        <v>703.0</v>
      </c>
      <c r="B705" s="6">
        <v>44600.0</v>
      </c>
      <c r="C705" s="5">
        <v>313.771116757914</v>
      </c>
      <c r="D705" s="5">
        <v>282.461405316619</v>
      </c>
      <c r="E705" s="5">
        <v>361.733158640969</v>
      </c>
      <c r="F705" s="5">
        <v>313.771116757914</v>
      </c>
      <c r="G705" s="5">
        <v>313.771116757914</v>
      </c>
      <c r="H705" s="5">
        <v>8.96402253127821</v>
      </c>
      <c r="I705" s="5">
        <v>8.96402253127821</v>
      </c>
      <c r="J705" s="5">
        <v>8.96402253127821</v>
      </c>
      <c r="K705" s="5">
        <v>0.247324772137726</v>
      </c>
      <c r="L705" s="5">
        <v>0.247324772137726</v>
      </c>
      <c r="M705" s="5">
        <v>0.247324772137726</v>
      </c>
      <c r="N705" s="5">
        <v>8.71669775914048</v>
      </c>
      <c r="O705" s="5">
        <v>8.71669775914048</v>
      </c>
      <c r="P705" s="5">
        <v>8.71669775914048</v>
      </c>
      <c r="Q705" s="5">
        <v>0.0</v>
      </c>
      <c r="R705" s="5">
        <v>0.0</v>
      </c>
      <c r="S705" s="5">
        <v>0.0</v>
      </c>
      <c r="T705" s="5">
        <v>322.735139289192</v>
      </c>
    </row>
    <row r="706">
      <c r="A706" s="5">
        <v>704.0</v>
      </c>
      <c r="B706" s="6">
        <v>44601.0</v>
      </c>
      <c r="C706" s="5">
        <v>313.70146561158</v>
      </c>
      <c r="D706" s="5">
        <v>284.622267354286</v>
      </c>
      <c r="E706" s="5">
        <v>365.230009764034</v>
      </c>
      <c r="F706" s="5">
        <v>313.70146561158</v>
      </c>
      <c r="G706" s="5">
        <v>313.70146561158</v>
      </c>
      <c r="H706" s="5">
        <v>9.96948684107193</v>
      </c>
      <c r="I706" s="5">
        <v>9.96948684107193</v>
      </c>
      <c r="J706" s="5">
        <v>9.96948684107193</v>
      </c>
      <c r="K706" s="5">
        <v>0.608132553629856</v>
      </c>
      <c r="L706" s="5">
        <v>0.608132553629856</v>
      </c>
      <c r="M706" s="5">
        <v>0.608132553629856</v>
      </c>
      <c r="N706" s="5">
        <v>9.36135428744207</v>
      </c>
      <c r="O706" s="5">
        <v>9.36135428744207</v>
      </c>
      <c r="P706" s="5">
        <v>9.36135428744207</v>
      </c>
      <c r="Q706" s="5">
        <v>0.0</v>
      </c>
      <c r="R706" s="5">
        <v>0.0</v>
      </c>
      <c r="S706" s="5">
        <v>0.0</v>
      </c>
      <c r="T706" s="5">
        <v>323.670952452652</v>
      </c>
    </row>
    <row r="707">
      <c r="A707" s="5">
        <v>705.0</v>
      </c>
      <c r="B707" s="6">
        <v>44602.0</v>
      </c>
      <c r="C707" s="5">
        <v>313.631814465247</v>
      </c>
      <c r="D707" s="5">
        <v>282.545992040804</v>
      </c>
      <c r="E707" s="5">
        <v>362.425433761442</v>
      </c>
      <c r="F707" s="5">
        <v>313.631814465247</v>
      </c>
      <c r="G707" s="5">
        <v>313.631814465247</v>
      </c>
      <c r="H707" s="5">
        <v>9.67709077170106</v>
      </c>
      <c r="I707" s="5">
        <v>9.67709077170106</v>
      </c>
      <c r="J707" s="5">
        <v>9.67709077170106</v>
      </c>
      <c r="K707" s="5">
        <v>-0.225417905349416</v>
      </c>
      <c r="L707" s="5">
        <v>-0.225417905349416</v>
      </c>
      <c r="M707" s="5">
        <v>-0.225417905349416</v>
      </c>
      <c r="N707" s="5">
        <v>9.90250867705047</v>
      </c>
      <c r="O707" s="5">
        <v>9.90250867705047</v>
      </c>
      <c r="P707" s="5">
        <v>9.90250867705047</v>
      </c>
      <c r="Q707" s="5">
        <v>0.0</v>
      </c>
      <c r="R707" s="5">
        <v>0.0</v>
      </c>
      <c r="S707" s="5">
        <v>0.0</v>
      </c>
      <c r="T707" s="5">
        <v>323.308905236948</v>
      </c>
    </row>
    <row r="708">
      <c r="A708" s="5">
        <v>706.0</v>
      </c>
      <c r="B708" s="6">
        <v>44603.0</v>
      </c>
      <c r="C708" s="5">
        <v>313.562163318913</v>
      </c>
      <c r="D708" s="5">
        <v>283.267725781073</v>
      </c>
      <c r="E708" s="5">
        <v>362.125156528295</v>
      </c>
      <c r="F708" s="5">
        <v>313.562163318913</v>
      </c>
      <c r="G708" s="5">
        <v>313.562163318913</v>
      </c>
      <c r="H708" s="5">
        <v>9.57461017660477</v>
      </c>
      <c r="I708" s="5">
        <v>9.57461017660477</v>
      </c>
      <c r="J708" s="5">
        <v>9.57461017660477</v>
      </c>
      <c r="K708" s="5">
        <v>-0.739640081282009</v>
      </c>
      <c r="L708" s="5">
        <v>-0.739640081282009</v>
      </c>
      <c r="M708" s="5">
        <v>-0.739640081282009</v>
      </c>
      <c r="N708" s="5">
        <v>10.3142502578867</v>
      </c>
      <c r="O708" s="5">
        <v>10.3142502578867</v>
      </c>
      <c r="P708" s="5">
        <v>10.3142502578867</v>
      </c>
      <c r="Q708" s="5">
        <v>0.0</v>
      </c>
      <c r="R708" s="5">
        <v>0.0</v>
      </c>
      <c r="S708" s="5">
        <v>0.0</v>
      </c>
      <c r="T708" s="5">
        <v>323.136773495518</v>
      </c>
    </row>
    <row r="709">
      <c r="A709" s="5">
        <v>707.0</v>
      </c>
      <c r="B709" s="6">
        <v>44606.0</v>
      </c>
      <c r="C709" s="5">
        <v>313.353209879913</v>
      </c>
      <c r="D709" s="5">
        <v>282.71318227202</v>
      </c>
      <c r="E709" s="5">
        <v>365.470328214845</v>
      </c>
      <c r="F709" s="5">
        <v>313.353209879913</v>
      </c>
      <c r="G709" s="5">
        <v>313.353209879913</v>
      </c>
      <c r="H709" s="5">
        <v>11.7196334622855</v>
      </c>
      <c r="I709" s="5">
        <v>11.7196334622855</v>
      </c>
      <c r="J709" s="5">
        <v>11.7196334622855</v>
      </c>
      <c r="K709" s="5">
        <v>1.16457933345038</v>
      </c>
      <c r="L709" s="5">
        <v>1.16457933345038</v>
      </c>
      <c r="M709" s="5">
        <v>1.16457933345038</v>
      </c>
      <c r="N709" s="5">
        <v>10.5550541288351</v>
      </c>
      <c r="O709" s="5">
        <v>10.5550541288351</v>
      </c>
      <c r="P709" s="5">
        <v>10.5550541288351</v>
      </c>
      <c r="Q709" s="5">
        <v>0.0</v>
      </c>
      <c r="R709" s="5">
        <v>0.0</v>
      </c>
      <c r="S709" s="5">
        <v>0.0</v>
      </c>
      <c r="T709" s="5">
        <v>325.072843342198</v>
      </c>
    </row>
    <row r="710">
      <c r="A710" s="5">
        <v>708.0</v>
      </c>
      <c r="B710" s="6">
        <v>44607.0</v>
      </c>
      <c r="C710" s="5">
        <v>313.283558733579</v>
      </c>
      <c r="D710" s="5">
        <v>286.080246603906</v>
      </c>
      <c r="E710" s="5">
        <v>365.022582562051</v>
      </c>
      <c r="F710" s="5">
        <v>313.283558733579</v>
      </c>
      <c r="G710" s="5">
        <v>313.283558733579</v>
      </c>
      <c r="H710" s="5">
        <v>10.4963625252555</v>
      </c>
      <c r="I710" s="5">
        <v>10.4963625252555</v>
      </c>
      <c r="J710" s="5">
        <v>10.4963625252555</v>
      </c>
      <c r="K710" s="5">
        <v>0.247324772139112</v>
      </c>
      <c r="L710" s="5">
        <v>0.247324772139112</v>
      </c>
      <c r="M710" s="5">
        <v>0.247324772139112</v>
      </c>
      <c r="N710" s="5">
        <v>10.2490377531164</v>
      </c>
      <c r="O710" s="5">
        <v>10.2490377531164</v>
      </c>
      <c r="P710" s="5">
        <v>10.2490377531164</v>
      </c>
      <c r="Q710" s="5">
        <v>0.0</v>
      </c>
      <c r="R710" s="5">
        <v>0.0</v>
      </c>
      <c r="S710" s="5">
        <v>0.0</v>
      </c>
      <c r="T710" s="5">
        <v>323.779921258835</v>
      </c>
    </row>
    <row r="711">
      <c r="A711" s="5">
        <v>709.0</v>
      </c>
      <c r="B711" s="6">
        <v>44608.0</v>
      </c>
      <c r="C711" s="5">
        <v>313.213907587246</v>
      </c>
      <c r="D711" s="5">
        <v>281.581923630625</v>
      </c>
      <c r="E711" s="5">
        <v>360.490015286305</v>
      </c>
      <c r="F711" s="5">
        <v>313.213907587246</v>
      </c>
      <c r="G711" s="5">
        <v>313.213907587246</v>
      </c>
      <c r="H711" s="5">
        <v>10.3411762976982</v>
      </c>
      <c r="I711" s="5">
        <v>10.3411762976982</v>
      </c>
      <c r="J711" s="5">
        <v>10.3411762976982</v>
      </c>
      <c r="K711" s="5">
        <v>0.608132553626298</v>
      </c>
      <c r="L711" s="5">
        <v>0.608132553626298</v>
      </c>
      <c r="M711" s="5">
        <v>0.608132553626298</v>
      </c>
      <c r="N711" s="5">
        <v>9.73304374407194</v>
      </c>
      <c r="O711" s="5">
        <v>9.73304374407194</v>
      </c>
      <c r="P711" s="5">
        <v>9.73304374407194</v>
      </c>
      <c r="Q711" s="5">
        <v>0.0</v>
      </c>
      <c r="R711" s="5">
        <v>0.0</v>
      </c>
      <c r="S711" s="5">
        <v>0.0</v>
      </c>
      <c r="T711" s="5">
        <v>323.555083884944</v>
      </c>
    </row>
    <row r="712">
      <c r="A712" s="5">
        <v>710.0</v>
      </c>
      <c r="B712" s="6">
        <v>44609.0</v>
      </c>
      <c r="C712" s="5">
        <v>313.144256440912</v>
      </c>
      <c r="D712" s="5">
        <v>280.992704261047</v>
      </c>
      <c r="E712" s="5">
        <v>362.122431733179</v>
      </c>
      <c r="F712" s="5">
        <v>313.144256440912</v>
      </c>
      <c r="G712" s="5">
        <v>313.144256440912</v>
      </c>
      <c r="H712" s="5">
        <v>8.77859552411649</v>
      </c>
      <c r="I712" s="5">
        <v>8.77859552411649</v>
      </c>
      <c r="J712" s="5">
        <v>8.77859552411649</v>
      </c>
      <c r="K712" s="5">
        <v>-0.225417905345609</v>
      </c>
      <c r="L712" s="5">
        <v>-0.225417905345609</v>
      </c>
      <c r="M712" s="5">
        <v>-0.225417905345609</v>
      </c>
      <c r="N712" s="5">
        <v>9.0040134294621</v>
      </c>
      <c r="O712" s="5">
        <v>9.0040134294621</v>
      </c>
      <c r="P712" s="5">
        <v>9.0040134294621</v>
      </c>
      <c r="Q712" s="5">
        <v>0.0</v>
      </c>
      <c r="R712" s="5">
        <v>0.0</v>
      </c>
      <c r="S712" s="5">
        <v>0.0</v>
      </c>
      <c r="T712" s="5">
        <v>321.922851965029</v>
      </c>
    </row>
    <row r="713">
      <c r="A713" s="5">
        <v>711.0</v>
      </c>
      <c r="B713" s="6">
        <v>44610.0</v>
      </c>
      <c r="C713" s="5">
        <v>313.074605294579</v>
      </c>
      <c r="D713" s="5">
        <v>279.799414135739</v>
      </c>
      <c r="E713" s="5">
        <v>359.502553438678</v>
      </c>
      <c r="F713" s="5">
        <v>313.074605294579</v>
      </c>
      <c r="G713" s="5">
        <v>313.074605294579</v>
      </c>
      <c r="H713" s="5">
        <v>7.32419438939727</v>
      </c>
      <c r="I713" s="5">
        <v>7.32419438939727</v>
      </c>
      <c r="J713" s="5">
        <v>7.32419438939727</v>
      </c>
      <c r="K713" s="5">
        <v>-0.739640081279732</v>
      </c>
      <c r="L713" s="5">
        <v>-0.739640081279732</v>
      </c>
      <c r="M713" s="5">
        <v>-0.739640081279732</v>
      </c>
      <c r="N713" s="5">
        <v>8.06383447067701</v>
      </c>
      <c r="O713" s="5">
        <v>8.06383447067701</v>
      </c>
      <c r="P713" s="5">
        <v>8.06383447067701</v>
      </c>
      <c r="Q713" s="5">
        <v>0.0</v>
      </c>
      <c r="R713" s="5">
        <v>0.0</v>
      </c>
      <c r="S713" s="5">
        <v>0.0</v>
      </c>
      <c r="T713" s="5">
        <v>320.398799683976</v>
      </c>
    </row>
    <row r="714">
      <c r="A714" s="5">
        <v>712.0</v>
      </c>
      <c r="B714" s="6">
        <v>44614.0</v>
      </c>
      <c r="C714" s="5">
        <v>312.796000709245</v>
      </c>
      <c r="D714" s="5">
        <v>275.350815666374</v>
      </c>
      <c r="E714" s="5">
        <v>355.825571094898</v>
      </c>
      <c r="F714" s="5">
        <v>312.796000709245</v>
      </c>
      <c r="G714" s="5">
        <v>312.796000709245</v>
      </c>
      <c r="H714" s="5">
        <v>2.64723938546871</v>
      </c>
      <c r="I714" s="5">
        <v>2.64723938546871</v>
      </c>
      <c r="J714" s="5">
        <v>2.64723938546871</v>
      </c>
      <c r="K714" s="5">
        <v>0.2473247721392</v>
      </c>
      <c r="L714" s="5">
        <v>0.2473247721392</v>
      </c>
      <c r="M714" s="5">
        <v>0.2473247721392</v>
      </c>
      <c r="N714" s="5">
        <v>2.39991461332951</v>
      </c>
      <c r="O714" s="5">
        <v>2.39991461332951</v>
      </c>
      <c r="P714" s="5">
        <v>2.39991461332951</v>
      </c>
      <c r="Q714" s="5">
        <v>0.0</v>
      </c>
      <c r="R714" s="5">
        <v>0.0</v>
      </c>
      <c r="S714" s="5">
        <v>0.0</v>
      </c>
      <c r="T714" s="5">
        <v>315.443240094714</v>
      </c>
    </row>
    <row r="715">
      <c r="A715" s="5">
        <v>713.0</v>
      </c>
      <c r="B715" s="6">
        <v>44615.0</v>
      </c>
      <c r="C715" s="5">
        <v>312.726349562911</v>
      </c>
      <c r="D715" s="5">
        <v>273.515055495453</v>
      </c>
      <c r="E715" s="5">
        <v>356.221735177646</v>
      </c>
      <c r="F715" s="5">
        <v>312.726349562911</v>
      </c>
      <c r="G715" s="5">
        <v>312.726349562911</v>
      </c>
      <c r="H715" s="5">
        <v>1.20776644654416</v>
      </c>
      <c r="I715" s="5">
        <v>1.20776644654416</v>
      </c>
      <c r="J715" s="5">
        <v>1.20776644654416</v>
      </c>
      <c r="K715" s="5">
        <v>0.608132553628077</v>
      </c>
      <c r="L715" s="5">
        <v>0.608132553628077</v>
      </c>
      <c r="M715" s="5">
        <v>0.608132553628077</v>
      </c>
      <c r="N715" s="5">
        <v>0.599633892916087</v>
      </c>
      <c r="O715" s="5">
        <v>0.599633892916087</v>
      </c>
      <c r="P715" s="5">
        <v>0.599633892916087</v>
      </c>
      <c r="Q715" s="5">
        <v>0.0</v>
      </c>
      <c r="R715" s="5">
        <v>0.0</v>
      </c>
      <c r="S715" s="5">
        <v>0.0</v>
      </c>
      <c r="T715" s="5">
        <v>313.934116009456</v>
      </c>
    </row>
    <row r="716">
      <c r="A716" s="5">
        <v>714.0</v>
      </c>
      <c r="B716" s="6">
        <v>44616.0</v>
      </c>
      <c r="C716" s="5">
        <v>312.656698416578</v>
      </c>
      <c r="D716" s="5">
        <v>269.513519173222</v>
      </c>
      <c r="E716" s="5">
        <v>350.210098647591</v>
      </c>
      <c r="F716" s="5">
        <v>312.656698416578</v>
      </c>
      <c r="G716" s="5">
        <v>312.656698416578</v>
      </c>
      <c r="H716" s="5">
        <v>-1.52964311534383</v>
      </c>
      <c r="I716" s="5">
        <v>-1.52964311534383</v>
      </c>
      <c r="J716" s="5">
        <v>-1.52964311534383</v>
      </c>
      <c r="K716" s="5">
        <v>-0.225417905348574</v>
      </c>
      <c r="L716" s="5">
        <v>-0.225417905348574</v>
      </c>
      <c r="M716" s="5">
        <v>-0.225417905348574</v>
      </c>
      <c r="N716" s="5">
        <v>-1.30422520999525</v>
      </c>
      <c r="O716" s="5">
        <v>-1.30422520999525</v>
      </c>
      <c r="P716" s="5">
        <v>-1.30422520999525</v>
      </c>
      <c r="Q716" s="5">
        <v>0.0</v>
      </c>
      <c r="R716" s="5">
        <v>0.0</v>
      </c>
      <c r="S716" s="5">
        <v>0.0</v>
      </c>
      <c r="T716" s="5">
        <v>311.127055301234</v>
      </c>
    </row>
    <row r="717">
      <c r="A717" s="5">
        <v>715.0</v>
      </c>
      <c r="B717" s="6">
        <v>44617.0</v>
      </c>
      <c r="C717" s="5">
        <v>312.587047270245</v>
      </c>
      <c r="D717" s="5">
        <v>270.19746582577</v>
      </c>
      <c r="E717" s="5">
        <v>345.523437199574</v>
      </c>
      <c r="F717" s="5">
        <v>312.587047270245</v>
      </c>
      <c r="G717" s="5">
        <v>312.587047270245</v>
      </c>
      <c r="H717" s="5">
        <v>-4.02098960838934</v>
      </c>
      <c r="I717" s="5">
        <v>-4.02098960838934</v>
      </c>
      <c r="J717" s="5">
        <v>-4.02098960838934</v>
      </c>
      <c r="K717" s="5">
        <v>-0.739640081280887</v>
      </c>
      <c r="L717" s="5">
        <v>-0.739640081280887</v>
      </c>
      <c r="M717" s="5">
        <v>-0.739640081280887</v>
      </c>
      <c r="N717" s="5">
        <v>-3.28134952710845</v>
      </c>
      <c r="O717" s="5">
        <v>-3.28134952710845</v>
      </c>
      <c r="P717" s="5">
        <v>-3.28134952710845</v>
      </c>
      <c r="Q717" s="5">
        <v>0.0</v>
      </c>
      <c r="R717" s="5">
        <v>0.0</v>
      </c>
      <c r="S717" s="5">
        <v>0.0</v>
      </c>
      <c r="T717" s="5">
        <v>308.566057661855</v>
      </c>
    </row>
    <row r="718">
      <c r="A718" s="5">
        <v>716.0</v>
      </c>
      <c r="B718" s="6">
        <v>44620.0</v>
      </c>
      <c r="C718" s="5">
        <v>312.378093831244</v>
      </c>
      <c r="D718" s="5">
        <v>262.629417507714</v>
      </c>
      <c r="E718" s="5">
        <v>345.337306427572</v>
      </c>
      <c r="F718" s="5">
        <v>312.378093831244</v>
      </c>
      <c r="G718" s="5">
        <v>312.378093831244</v>
      </c>
      <c r="H718" s="5">
        <v>-8.16012624037427</v>
      </c>
      <c r="I718" s="5">
        <v>-8.16012624037427</v>
      </c>
      <c r="J718" s="5">
        <v>-8.16012624037427</v>
      </c>
      <c r="K718" s="5">
        <v>1.16457933345106</v>
      </c>
      <c r="L718" s="5">
        <v>1.16457933345106</v>
      </c>
      <c r="M718" s="5">
        <v>1.16457933345106</v>
      </c>
      <c r="N718" s="5">
        <v>-9.32470557382533</v>
      </c>
      <c r="O718" s="5">
        <v>-9.32470557382533</v>
      </c>
      <c r="P718" s="5">
        <v>-9.32470557382533</v>
      </c>
      <c r="Q718" s="5">
        <v>0.0</v>
      </c>
      <c r="R718" s="5">
        <v>0.0</v>
      </c>
      <c r="S718" s="5">
        <v>0.0</v>
      </c>
      <c r="T718" s="5">
        <v>304.21796759087</v>
      </c>
    </row>
    <row r="719">
      <c r="A719" s="5">
        <v>717.0</v>
      </c>
      <c r="B719" s="6">
        <v>44621.0</v>
      </c>
      <c r="C719" s="5">
        <v>312.308442684911</v>
      </c>
      <c r="D719" s="5">
        <v>259.201279737341</v>
      </c>
      <c r="E719" s="5">
        <v>341.957135317096</v>
      </c>
      <c r="F719" s="5">
        <v>312.308442684911</v>
      </c>
      <c r="G719" s="5">
        <v>312.308442684911</v>
      </c>
      <c r="H719" s="5">
        <v>-11.0171431001182</v>
      </c>
      <c r="I719" s="5">
        <v>-11.0171431001182</v>
      </c>
      <c r="J719" s="5">
        <v>-11.0171431001182</v>
      </c>
      <c r="K719" s="5">
        <v>0.247324772137866</v>
      </c>
      <c r="L719" s="5">
        <v>0.247324772137866</v>
      </c>
      <c r="M719" s="5">
        <v>0.247324772137866</v>
      </c>
      <c r="N719" s="5">
        <v>-11.2644678722561</v>
      </c>
      <c r="O719" s="5">
        <v>-11.2644678722561</v>
      </c>
      <c r="P719" s="5">
        <v>-11.2644678722561</v>
      </c>
      <c r="Q719" s="5">
        <v>0.0</v>
      </c>
      <c r="R719" s="5">
        <v>0.0</v>
      </c>
      <c r="S719" s="5">
        <v>0.0</v>
      </c>
      <c r="T719" s="5">
        <v>301.291299584792</v>
      </c>
    </row>
    <row r="720">
      <c r="A720" s="5">
        <v>718.0</v>
      </c>
      <c r="B720" s="6">
        <v>44622.0</v>
      </c>
      <c r="C720" s="5">
        <v>312.238791538577</v>
      </c>
      <c r="D720" s="5">
        <v>261.221336771547</v>
      </c>
      <c r="E720" s="5">
        <v>339.223789350039</v>
      </c>
      <c r="F720" s="5">
        <v>312.238791538577</v>
      </c>
      <c r="G720" s="5">
        <v>312.238791538577</v>
      </c>
      <c r="H720" s="5">
        <v>-12.5040626545467</v>
      </c>
      <c r="I720" s="5">
        <v>-12.5040626545467</v>
      </c>
      <c r="J720" s="5">
        <v>-12.5040626545467</v>
      </c>
      <c r="K720" s="5">
        <v>0.608132553627187</v>
      </c>
      <c r="L720" s="5">
        <v>0.608132553627187</v>
      </c>
      <c r="M720" s="5">
        <v>0.608132553627187</v>
      </c>
      <c r="N720" s="5">
        <v>-13.1121952081739</v>
      </c>
      <c r="O720" s="5">
        <v>-13.1121952081739</v>
      </c>
      <c r="P720" s="5">
        <v>-13.1121952081739</v>
      </c>
      <c r="Q720" s="5">
        <v>0.0</v>
      </c>
      <c r="R720" s="5">
        <v>0.0</v>
      </c>
      <c r="S720" s="5">
        <v>0.0</v>
      </c>
      <c r="T720" s="5">
        <v>299.73472888403</v>
      </c>
    </row>
    <row r="721">
      <c r="A721" s="5">
        <v>719.0</v>
      </c>
      <c r="B721" s="6">
        <v>44623.0</v>
      </c>
      <c r="C721" s="5">
        <v>312.169140392244</v>
      </c>
      <c r="D721" s="5">
        <v>258.305154160452</v>
      </c>
      <c r="E721" s="5">
        <v>337.553408629787</v>
      </c>
      <c r="F721" s="5">
        <v>312.169140392244</v>
      </c>
      <c r="G721" s="5">
        <v>312.169140392244</v>
      </c>
      <c r="H721" s="5">
        <v>-15.0628790437025</v>
      </c>
      <c r="I721" s="5">
        <v>-15.0628790437025</v>
      </c>
      <c r="J721" s="5">
        <v>-15.0628790437025</v>
      </c>
      <c r="K721" s="5">
        <v>-0.225417905346226</v>
      </c>
      <c r="L721" s="5">
        <v>-0.225417905346226</v>
      </c>
      <c r="M721" s="5">
        <v>-0.225417905346226</v>
      </c>
      <c r="N721" s="5">
        <v>-14.8374611383562</v>
      </c>
      <c r="O721" s="5">
        <v>-14.8374611383562</v>
      </c>
      <c r="P721" s="5">
        <v>-14.8374611383562</v>
      </c>
      <c r="Q721" s="5">
        <v>0.0</v>
      </c>
      <c r="R721" s="5">
        <v>0.0</v>
      </c>
      <c r="S721" s="5">
        <v>0.0</v>
      </c>
      <c r="T721" s="5">
        <v>297.106261348541</v>
      </c>
    </row>
    <row r="722">
      <c r="A722" s="5">
        <v>720.0</v>
      </c>
      <c r="B722" s="6">
        <v>44624.0</v>
      </c>
      <c r="C722" s="5">
        <v>312.09948924591</v>
      </c>
      <c r="D722" s="5">
        <v>254.692904445585</v>
      </c>
      <c r="E722" s="5">
        <v>334.768199273757</v>
      </c>
      <c r="F722" s="5">
        <v>312.09948924591</v>
      </c>
      <c r="G722" s="5">
        <v>312.09948924591</v>
      </c>
      <c r="H722" s="5">
        <v>-17.1520629647154</v>
      </c>
      <c r="I722" s="5">
        <v>-17.1520629647154</v>
      </c>
      <c r="J722" s="5">
        <v>-17.1520629647154</v>
      </c>
      <c r="K722" s="5">
        <v>-0.739640081278611</v>
      </c>
      <c r="L722" s="5">
        <v>-0.739640081278611</v>
      </c>
      <c r="M722" s="5">
        <v>-0.739640081278611</v>
      </c>
      <c r="N722" s="5">
        <v>-16.4124228834367</v>
      </c>
      <c r="O722" s="5">
        <v>-16.4124228834367</v>
      </c>
      <c r="P722" s="5">
        <v>-16.4124228834367</v>
      </c>
      <c r="Q722" s="5">
        <v>0.0</v>
      </c>
      <c r="R722" s="5">
        <v>0.0</v>
      </c>
      <c r="S722" s="5">
        <v>0.0</v>
      </c>
      <c r="T722" s="5">
        <v>294.947426281195</v>
      </c>
    </row>
    <row r="723">
      <c r="A723" s="5">
        <v>721.0</v>
      </c>
      <c r="B723" s="6">
        <v>44627.0</v>
      </c>
      <c r="C723" s="5">
        <v>311.89053580691</v>
      </c>
      <c r="D723" s="5">
        <v>251.735083103783</v>
      </c>
      <c r="E723" s="5">
        <v>334.647587264701</v>
      </c>
      <c r="F723" s="5">
        <v>311.89053580691</v>
      </c>
      <c r="G723" s="5">
        <v>311.89053580691</v>
      </c>
      <c r="H723" s="5">
        <v>-18.843787518418</v>
      </c>
      <c r="I723" s="5">
        <v>-18.843787518418</v>
      </c>
      <c r="J723" s="5">
        <v>-18.843787518418</v>
      </c>
      <c r="K723" s="5">
        <v>1.16457933345129</v>
      </c>
      <c r="L723" s="5">
        <v>1.16457933345129</v>
      </c>
      <c r="M723" s="5">
        <v>1.16457933345129</v>
      </c>
      <c r="N723" s="5">
        <v>-20.0083668518693</v>
      </c>
      <c r="O723" s="5">
        <v>-20.0083668518693</v>
      </c>
      <c r="P723" s="5">
        <v>-20.0083668518693</v>
      </c>
      <c r="Q723" s="5">
        <v>0.0</v>
      </c>
      <c r="R723" s="5">
        <v>0.0</v>
      </c>
      <c r="S723" s="5">
        <v>0.0</v>
      </c>
      <c r="T723" s="5">
        <v>293.046748288492</v>
      </c>
    </row>
    <row r="724">
      <c r="A724" s="5">
        <v>722.0</v>
      </c>
      <c r="B724" s="6">
        <v>44628.0</v>
      </c>
      <c r="C724" s="5">
        <v>311.820884660576</v>
      </c>
      <c r="D724" s="5">
        <v>251.488215185288</v>
      </c>
      <c r="E724" s="5">
        <v>330.724071314221</v>
      </c>
      <c r="F724" s="5">
        <v>311.820884660576</v>
      </c>
      <c r="G724" s="5">
        <v>311.820884660576</v>
      </c>
      <c r="H724" s="5">
        <v>-20.5281241563765</v>
      </c>
      <c r="I724" s="5">
        <v>-20.5281241563765</v>
      </c>
      <c r="J724" s="5">
        <v>-20.5281241563765</v>
      </c>
      <c r="K724" s="5">
        <v>0.247324772137954</v>
      </c>
      <c r="L724" s="5">
        <v>0.247324772137954</v>
      </c>
      <c r="M724" s="5">
        <v>0.247324772137954</v>
      </c>
      <c r="N724" s="5">
        <v>-20.7754489285145</v>
      </c>
      <c r="O724" s="5">
        <v>-20.7754489285145</v>
      </c>
      <c r="P724" s="5">
        <v>-20.7754489285145</v>
      </c>
      <c r="Q724" s="5">
        <v>0.0</v>
      </c>
      <c r="R724" s="5">
        <v>0.0</v>
      </c>
      <c r="S724" s="5">
        <v>0.0</v>
      </c>
      <c r="T724" s="5">
        <v>291.2927605042</v>
      </c>
    </row>
    <row r="725">
      <c r="A725" s="5">
        <v>723.0</v>
      </c>
      <c r="B725" s="6">
        <v>44629.0</v>
      </c>
      <c r="C725" s="5">
        <v>311.751233514243</v>
      </c>
      <c r="D725" s="5">
        <v>250.361506907497</v>
      </c>
      <c r="E725" s="5">
        <v>332.519155505064</v>
      </c>
      <c r="F725" s="5">
        <v>311.751233514243</v>
      </c>
      <c r="G725" s="5">
        <v>311.751233514243</v>
      </c>
      <c r="H725" s="5">
        <v>-20.7024053335393</v>
      </c>
      <c r="I725" s="5">
        <v>-20.7024053335393</v>
      </c>
      <c r="J725" s="5">
        <v>-20.7024053335393</v>
      </c>
      <c r="K725" s="5">
        <v>0.608132553627852</v>
      </c>
      <c r="L725" s="5">
        <v>0.608132553627852</v>
      </c>
      <c r="M725" s="5">
        <v>0.608132553627852</v>
      </c>
      <c r="N725" s="5">
        <v>-21.3105378871672</v>
      </c>
      <c r="O725" s="5">
        <v>-21.3105378871672</v>
      </c>
      <c r="P725" s="5">
        <v>-21.3105378871672</v>
      </c>
      <c r="Q725" s="5">
        <v>0.0</v>
      </c>
      <c r="R725" s="5">
        <v>0.0</v>
      </c>
      <c r="S725" s="5">
        <v>0.0</v>
      </c>
      <c r="T725" s="5">
        <v>291.048828180703</v>
      </c>
    </row>
    <row r="726">
      <c r="A726" s="5">
        <v>724.0</v>
      </c>
      <c r="B726" s="6">
        <v>44630.0</v>
      </c>
      <c r="C726" s="5">
        <v>311.681582367909</v>
      </c>
      <c r="D726" s="5">
        <v>248.68880748049</v>
      </c>
      <c r="E726" s="5">
        <v>329.06701506122</v>
      </c>
      <c r="F726" s="5">
        <v>311.681582367909</v>
      </c>
      <c r="G726" s="5">
        <v>311.681582367909</v>
      </c>
      <c r="H726" s="5">
        <v>-21.8365697433493</v>
      </c>
      <c r="I726" s="5">
        <v>-21.8365697433493</v>
      </c>
      <c r="J726" s="5">
        <v>-21.8365697433493</v>
      </c>
      <c r="K726" s="5">
        <v>-0.225417905345806</v>
      </c>
      <c r="L726" s="5">
        <v>-0.225417905345806</v>
      </c>
      <c r="M726" s="5">
        <v>-0.225417905345806</v>
      </c>
      <c r="N726" s="5">
        <v>-21.6111518380035</v>
      </c>
      <c r="O726" s="5">
        <v>-21.6111518380035</v>
      </c>
      <c r="P726" s="5">
        <v>-21.6111518380035</v>
      </c>
      <c r="Q726" s="5">
        <v>0.0</v>
      </c>
      <c r="R726" s="5">
        <v>0.0</v>
      </c>
      <c r="S726" s="5">
        <v>0.0</v>
      </c>
      <c r="T726" s="5">
        <v>289.84501262456</v>
      </c>
    </row>
    <row r="727">
      <c r="A727" s="5">
        <v>725.0</v>
      </c>
      <c r="B727" s="6">
        <v>44631.0</v>
      </c>
      <c r="C727" s="5">
        <v>311.611931221576</v>
      </c>
      <c r="D727" s="5">
        <v>249.338663062252</v>
      </c>
      <c r="E727" s="5">
        <v>330.053845949293</v>
      </c>
      <c r="F727" s="5">
        <v>311.611931221576</v>
      </c>
      <c r="G727" s="5">
        <v>311.611931221576</v>
      </c>
      <c r="H727" s="5">
        <v>-22.4193195835165</v>
      </c>
      <c r="I727" s="5">
        <v>-22.4193195835165</v>
      </c>
      <c r="J727" s="5">
        <v>-22.4193195835165</v>
      </c>
      <c r="K727" s="5">
        <v>-0.739640081283199</v>
      </c>
      <c r="L727" s="5">
        <v>-0.739640081283199</v>
      </c>
      <c r="M727" s="5">
        <v>-0.739640081283199</v>
      </c>
      <c r="N727" s="5">
        <v>-21.6796795022333</v>
      </c>
      <c r="O727" s="5">
        <v>-21.6796795022333</v>
      </c>
      <c r="P727" s="5">
        <v>-21.6796795022333</v>
      </c>
      <c r="Q727" s="5">
        <v>0.0</v>
      </c>
      <c r="R727" s="5">
        <v>0.0</v>
      </c>
      <c r="S727" s="5">
        <v>0.0</v>
      </c>
      <c r="T727" s="5">
        <v>289.192611638059</v>
      </c>
    </row>
    <row r="728">
      <c r="A728" s="5">
        <v>726.0</v>
      </c>
      <c r="B728" s="6">
        <v>44634.0</v>
      </c>
      <c r="C728" s="5">
        <v>310.414647146667</v>
      </c>
      <c r="D728" s="5">
        <v>250.473535382844</v>
      </c>
      <c r="E728" s="5">
        <v>328.743106024313</v>
      </c>
      <c r="F728" s="5">
        <v>310.414647146667</v>
      </c>
      <c r="G728" s="5">
        <v>310.414647146667</v>
      </c>
      <c r="H728" s="5">
        <v>-19.4216117475723</v>
      </c>
      <c r="I728" s="5">
        <v>-19.4216117475723</v>
      </c>
      <c r="J728" s="5">
        <v>-19.4216117475723</v>
      </c>
      <c r="K728" s="5">
        <v>1.1645793334499</v>
      </c>
      <c r="L728" s="5">
        <v>1.1645793334499</v>
      </c>
      <c r="M728" s="5">
        <v>1.1645793334499</v>
      </c>
      <c r="N728" s="5">
        <v>-20.5861910810222</v>
      </c>
      <c r="O728" s="5">
        <v>-20.5861910810222</v>
      </c>
      <c r="P728" s="5">
        <v>-20.5861910810222</v>
      </c>
      <c r="Q728" s="5">
        <v>0.0</v>
      </c>
      <c r="R728" s="5">
        <v>0.0</v>
      </c>
      <c r="S728" s="5">
        <v>0.0</v>
      </c>
      <c r="T728" s="5">
        <v>290.993035399095</v>
      </c>
    </row>
    <row r="729">
      <c r="A729" s="5">
        <v>727.0</v>
      </c>
      <c r="B729" s="6">
        <v>44635.0</v>
      </c>
      <c r="C729" s="5">
        <v>310.015552455031</v>
      </c>
      <c r="D729" s="5">
        <v>250.651369323905</v>
      </c>
      <c r="E729" s="5">
        <v>331.656405945719</v>
      </c>
      <c r="F729" s="5">
        <v>310.015552455031</v>
      </c>
      <c r="G729" s="5">
        <v>310.015552455031</v>
      </c>
      <c r="H729" s="5">
        <v>-19.5934962104272</v>
      </c>
      <c r="I729" s="5">
        <v>-19.5934962104272</v>
      </c>
      <c r="J729" s="5">
        <v>-19.5934962104272</v>
      </c>
      <c r="K729" s="5">
        <v>0.24732477213662</v>
      </c>
      <c r="L729" s="5">
        <v>0.24732477213662</v>
      </c>
      <c r="M729" s="5">
        <v>0.24732477213662</v>
      </c>
      <c r="N729" s="5">
        <v>-19.8408209825639</v>
      </c>
      <c r="O729" s="5">
        <v>-19.8408209825639</v>
      </c>
      <c r="P729" s="5">
        <v>-19.8408209825639</v>
      </c>
      <c r="Q729" s="5">
        <v>0.0</v>
      </c>
      <c r="R729" s="5">
        <v>0.0</v>
      </c>
      <c r="S729" s="5">
        <v>0.0</v>
      </c>
      <c r="T729" s="5">
        <v>290.422056244604</v>
      </c>
    </row>
    <row r="730">
      <c r="A730" s="5">
        <v>728.0</v>
      </c>
      <c r="B730" s="6">
        <v>44636.0</v>
      </c>
      <c r="C730" s="5">
        <v>309.616457763395</v>
      </c>
      <c r="D730" s="5">
        <v>251.408010234071</v>
      </c>
      <c r="E730" s="5">
        <v>332.37671968998</v>
      </c>
      <c r="F730" s="5">
        <v>309.616457763395</v>
      </c>
      <c r="G730" s="5">
        <v>309.616457763395</v>
      </c>
      <c r="H730" s="5">
        <v>-18.3319127136846</v>
      </c>
      <c r="I730" s="5">
        <v>-18.3319127136846</v>
      </c>
      <c r="J730" s="5">
        <v>-18.3319127136846</v>
      </c>
      <c r="K730" s="5">
        <v>0.608132553626962</v>
      </c>
      <c r="L730" s="5">
        <v>0.608132553626962</v>
      </c>
      <c r="M730" s="5">
        <v>0.608132553626962</v>
      </c>
      <c r="N730" s="5">
        <v>-18.9400452673115</v>
      </c>
      <c r="O730" s="5">
        <v>-18.9400452673115</v>
      </c>
      <c r="P730" s="5">
        <v>-18.9400452673115</v>
      </c>
      <c r="Q730" s="5">
        <v>0.0</v>
      </c>
      <c r="R730" s="5">
        <v>0.0</v>
      </c>
      <c r="S730" s="5">
        <v>0.0</v>
      </c>
      <c r="T730" s="5">
        <v>291.28454504971</v>
      </c>
    </row>
    <row r="731">
      <c r="A731" s="5">
        <v>729.0</v>
      </c>
      <c r="B731" s="6">
        <v>44637.0</v>
      </c>
      <c r="C731" s="5">
        <v>309.217363071758</v>
      </c>
      <c r="D731" s="5">
        <v>251.516626694193</v>
      </c>
      <c r="E731" s="5">
        <v>329.074969765364</v>
      </c>
      <c r="F731" s="5">
        <v>309.217363071758</v>
      </c>
      <c r="G731" s="5">
        <v>309.217363071758</v>
      </c>
      <c r="H731" s="5">
        <v>-18.1345228087786</v>
      </c>
      <c r="I731" s="5">
        <v>-18.1345228087786</v>
      </c>
      <c r="J731" s="5">
        <v>-18.1345228087786</v>
      </c>
      <c r="K731" s="5">
        <v>-0.225417905345384</v>
      </c>
      <c r="L731" s="5">
        <v>-0.225417905345384</v>
      </c>
      <c r="M731" s="5">
        <v>-0.225417905345384</v>
      </c>
      <c r="N731" s="5">
        <v>-17.9091049034333</v>
      </c>
      <c r="O731" s="5">
        <v>-17.9091049034333</v>
      </c>
      <c r="P731" s="5">
        <v>-17.9091049034333</v>
      </c>
      <c r="Q731" s="5">
        <v>0.0</v>
      </c>
      <c r="R731" s="5">
        <v>0.0</v>
      </c>
      <c r="S731" s="5">
        <v>0.0</v>
      </c>
      <c r="T731" s="5">
        <v>291.08284026298</v>
      </c>
    </row>
    <row r="732">
      <c r="A732" s="5">
        <v>730.0</v>
      </c>
      <c r="B732" s="6">
        <v>44638.0</v>
      </c>
      <c r="C732" s="5">
        <v>308.818268380122</v>
      </c>
      <c r="D732" s="5">
        <v>254.165293227002</v>
      </c>
      <c r="E732" s="5">
        <v>331.993258441989</v>
      </c>
      <c r="F732" s="5">
        <v>308.818268380122</v>
      </c>
      <c r="G732" s="5">
        <v>308.818268380122</v>
      </c>
      <c r="H732" s="5">
        <v>-17.5148140842925</v>
      </c>
      <c r="I732" s="5">
        <v>-17.5148140842925</v>
      </c>
      <c r="J732" s="5">
        <v>-17.5148140842925</v>
      </c>
      <c r="K732" s="5">
        <v>-0.739640081280922</v>
      </c>
      <c r="L732" s="5">
        <v>-0.739640081280922</v>
      </c>
      <c r="M732" s="5">
        <v>-0.739640081280922</v>
      </c>
      <c r="N732" s="5">
        <v>-16.7751740030116</v>
      </c>
      <c r="O732" s="5">
        <v>-16.7751740030116</v>
      </c>
      <c r="P732" s="5">
        <v>-16.7751740030116</v>
      </c>
      <c r="Q732" s="5">
        <v>0.0</v>
      </c>
      <c r="R732" s="5">
        <v>0.0</v>
      </c>
      <c r="S732" s="5">
        <v>0.0</v>
      </c>
      <c r="T732" s="5">
        <v>291.30345429583</v>
      </c>
    </row>
    <row r="733">
      <c r="A733" s="5">
        <v>731.0</v>
      </c>
      <c r="B733" s="6">
        <v>44641.0</v>
      </c>
      <c r="C733" s="5">
        <v>307.620984305213</v>
      </c>
      <c r="D733" s="5">
        <v>254.210565463035</v>
      </c>
      <c r="E733" s="5">
        <v>337.967920786632</v>
      </c>
      <c r="F733" s="5">
        <v>307.620984305213</v>
      </c>
      <c r="G733" s="5">
        <v>307.620984305213</v>
      </c>
      <c r="H733" s="5">
        <v>-11.8771833843769</v>
      </c>
      <c r="I733" s="5">
        <v>-11.8771833843769</v>
      </c>
      <c r="J733" s="5">
        <v>-11.8771833843769</v>
      </c>
      <c r="K733" s="5">
        <v>1.16457933345024</v>
      </c>
      <c r="L733" s="5">
        <v>1.16457933345024</v>
      </c>
      <c r="M733" s="5">
        <v>1.16457933345024</v>
      </c>
      <c r="N733" s="5">
        <v>-13.0417627178271</v>
      </c>
      <c r="O733" s="5">
        <v>-13.0417627178271</v>
      </c>
      <c r="P733" s="5">
        <v>-13.0417627178271</v>
      </c>
      <c r="Q733" s="5">
        <v>0.0</v>
      </c>
      <c r="R733" s="5">
        <v>0.0</v>
      </c>
      <c r="S733" s="5">
        <v>0.0</v>
      </c>
      <c r="T733" s="5">
        <v>295.743800920837</v>
      </c>
    </row>
    <row r="734">
      <c r="A734" s="5">
        <v>732.0</v>
      </c>
      <c r="B734" s="6">
        <v>44642.0</v>
      </c>
      <c r="C734" s="5">
        <v>307.221889613577</v>
      </c>
      <c r="D734" s="5">
        <v>256.976443817302</v>
      </c>
      <c r="E734" s="5">
        <v>334.508675697515</v>
      </c>
      <c r="F734" s="5">
        <v>307.221889613577</v>
      </c>
      <c r="G734" s="5">
        <v>307.221889613577</v>
      </c>
      <c r="H734" s="5">
        <v>-11.534875504412</v>
      </c>
      <c r="I734" s="5">
        <v>-11.534875504412</v>
      </c>
      <c r="J734" s="5">
        <v>-11.534875504412</v>
      </c>
      <c r="K734" s="5">
        <v>0.247324772138131</v>
      </c>
      <c r="L734" s="5">
        <v>0.247324772138131</v>
      </c>
      <c r="M734" s="5">
        <v>0.247324772138131</v>
      </c>
      <c r="N734" s="5">
        <v>-11.7822002765501</v>
      </c>
      <c r="O734" s="5">
        <v>-11.7822002765501</v>
      </c>
      <c r="P734" s="5">
        <v>-11.7822002765501</v>
      </c>
      <c r="Q734" s="5">
        <v>0.0</v>
      </c>
      <c r="R734" s="5">
        <v>0.0</v>
      </c>
      <c r="S734" s="5">
        <v>0.0</v>
      </c>
      <c r="T734" s="5">
        <v>295.687014109165</v>
      </c>
    </row>
    <row r="735">
      <c r="A735" s="5">
        <v>733.0</v>
      </c>
      <c r="B735" s="6">
        <v>44643.0</v>
      </c>
      <c r="C735" s="5">
        <v>306.822794921941</v>
      </c>
      <c r="D735" s="5">
        <v>257.66951050418</v>
      </c>
      <c r="E735" s="5">
        <v>341.26128531837</v>
      </c>
      <c r="F735" s="5">
        <v>306.822794921941</v>
      </c>
      <c r="G735" s="5">
        <v>306.822794921941</v>
      </c>
      <c r="H735" s="5">
        <v>-9.95234159769338</v>
      </c>
      <c r="I735" s="5">
        <v>-9.95234159769338</v>
      </c>
      <c r="J735" s="5">
        <v>-9.95234159769338</v>
      </c>
      <c r="K735" s="5">
        <v>0.608132553626072</v>
      </c>
      <c r="L735" s="5">
        <v>0.608132553626072</v>
      </c>
      <c r="M735" s="5">
        <v>0.608132553626072</v>
      </c>
      <c r="N735" s="5">
        <v>-10.5604741513194</v>
      </c>
      <c r="O735" s="5">
        <v>-10.5604741513194</v>
      </c>
      <c r="P735" s="5">
        <v>-10.5604741513194</v>
      </c>
      <c r="Q735" s="5">
        <v>0.0</v>
      </c>
      <c r="R735" s="5">
        <v>0.0</v>
      </c>
      <c r="S735" s="5">
        <v>0.0</v>
      </c>
      <c r="T735" s="5">
        <v>296.870453324248</v>
      </c>
    </row>
    <row r="736">
      <c r="A736" s="5">
        <v>734.0</v>
      </c>
      <c r="B736" s="6">
        <v>44644.0</v>
      </c>
      <c r="C736" s="5">
        <v>306.423700230305</v>
      </c>
      <c r="D736" s="5">
        <v>256.14161935606</v>
      </c>
      <c r="E736" s="5">
        <v>336.070281460349</v>
      </c>
      <c r="F736" s="5">
        <v>306.423700230305</v>
      </c>
      <c r="G736" s="5">
        <v>306.423700230305</v>
      </c>
      <c r="H736" s="5">
        <v>-9.62653169831763</v>
      </c>
      <c r="I736" s="5">
        <v>-9.62653169831763</v>
      </c>
      <c r="J736" s="5">
        <v>-9.62653169831763</v>
      </c>
      <c r="K736" s="5">
        <v>-0.225417905348349</v>
      </c>
      <c r="L736" s="5">
        <v>-0.225417905348349</v>
      </c>
      <c r="M736" s="5">
        <v>-0.225417905348349</v>
      </c>
      <c r="N736" s="5">
        <v>-9.40111379296928</v>
      </c>
      <c r="O736" s="5">
        <v>-9.40111379296928</v>
      </c>
      <c r="P736" s="5">
        <v>-9.40111379296928</v>
      </c>
      <c r="Q736" s="5">
        <v>0.0</v>
      </c>
      <c r="R736" s="5">
        <v>0.0</v>
      </c>
      <c r="S736" s="5">
        <v>0.0</v>
      </c>
      <c r="T736" s="5">
        <v>296.797168531987</v>
      </c>
    </row>
    <row r="737">
      <c r="A737" s="5">
        <v>735.0</v>
      </c>
      <c r="B737" s="6">
        <v>44645.0</v>
      </c>
      <c r="C737" s="5">
        <v>306.024605538669</v>
      </c>
      <c r="D737" s="5">
        <v>252.802128132443</v>
      </c>
      <c r="E737" s="5">
        <v>336.73399932751</v>
      </c>
      <c r="F737" s="5">
        <v>306.024605538669</v>
      </c>
      <c r="G737" s="5">
        <v>306.024605538669</v>
      </c>
      <c r="H737" s="5">
        <v>-9.06573690218421</v>
      </c>
      <c r="I737" s="5">
        <v>-9.06573690218421</v>
      </c>
      <c r="J737" s="5">
        <v>-9.06573690218421</v>
      </c>
      <c r="K737" s="5">
        <v>-0.739640081280016</v>
      </c>
      <c r="L737" s="5">
        <v>-0.739640081280016</v>
      </c>
      <c r="M737" s="5">
        <v>-0.739640081280016</v>
      </c>
      <c r="N737" s="5">
        <v>-8.32609682090419</v>
      </c>
      <c r="O737" s="5">
        <v>-8.32609682090419</v>
      </c>
      <c r="P737" s="5">
        <v>-8.32609682090419</v>
      </c>
      <c r="Q737" s="5">
        <v>0.0</v>
      </c>
      <c r="R737" s="5">
        <v>0.0</v>
      </c>
      <c r="S737" s="5">
        <v>0.0</v>
      </c>
      <c r="T737" s="5">
        <v>296.958868636484</v>
      </c>
    </row>
    <row r="738">
      <c r="A738" s="5">
        <v>736.0</v>
      </c>
      <c r="B738" s="6">
        <v>44648.0</v>
      </c>
      <c r="C738" s="5">
        <v>304.82732146376</v>
      </c>
      <c r="D738" s="5">
        <v>261.891818918128</v>
      </c>
      <c r="E738" s="5">
        <v>338.371322237177</v>
      </c>
      <c r="F738" s="5">
        <v>304.82732146376</v>
      </c>
      <c r="G738" s="5">
        <v>304.82732146376</v>
      </c>
      <c r="H738" s="5">
        <v>-4.61553315008336</v>
      </c>
      <c r="I738" s="5">
        <v>-4.61553315008336</v>
      </c>
      <c r="J738" s="5">
        <v>-4.61553315008336</v>
      </c>
      <c r="K738" s="5">
        <v>1.16457933345057</v>
      </c>
      <c r="L738" s="5">
        <v>1.16457933345057</v>
      </c>
      <c r="M738" s="5">
        <v>1.16457933345057</v>
      </c>
      <c r="N738" s="5">
        <v>-5.78011248353394</v>
      </c>
      <c r="O738" s="5">
        <v>-5.78011248353394</v>
      </c>
      <c r="P738" s="5">
        <v>-5.78011248353394</v>
      </c>
      <c r="Q738" s="5">
        <v>0.0</v>
      </c>
      <c r="R738" s="5">
        <v>0.0</v>
      </c>
      <c r="S738" s="5">
        <v>0.0</v>
      </c>
      <c r="T738" s="5">
        <v>300.211788313676</v>
      </c>
    </row>
    <row r="739">
      <c r="A739" s="5">
        <v>737.0</v>
      </c>
      <c r="B739" s="6">
        <v>44649.0</v>
      </c>
      <c r="C739" s="5">
        <v>304.428226772124</v>
      </c>
      <c r="D739" s="5">
        <v>263.010164952962</v>
      </c>
      <c r="E739" s="5">
        <v>341.211693121192</v>
      </c>
      <c r="F739" s="5">
        <v>304.428226772124</v>
      </c>
      <c r="G739" s="5">
        <v>304.428226772124</v>
      </c>
      <c r="H739" s="5">
        <v>-4.95060602364166</v>
      </c>
      <c r="I739" s="5">
        <v>-4.95060602364166</v>
      </c>
      <c r="J739" s="5">
        <v>-4.95060602364166</v>
      </c>
      <c r="K739" s="5">
        <v>0.247324772136796</v>
      </c>
      <c r="L739" s="5">
        <v>0.247324772136796</v>
      </c>
      <c r="M739" s="5">
        <v>0.247324772136796</v>
      </c>
      <c r="N739" s="5">
        <v>-5.19793079577846</v>
      </c>
      <c r="O739" s="5">
        <v>-5.19793079577846</v>
      </c>
      <c r="P739" s="5">
        <v>-5.19793079577846</v>
      </c>
      <c r="Q739" s="5">
        <v>0.0</v>
      </c>
      <c r="R739" s="5">
        <v>0.0</v>
      </c>
      <c r="S739" s="5">
        <v>0.0</v>
      </c>
      <c r="T739" s="5">
        <v>299.477620748482</v>
      </c>
    </row>
    <row r="740">
      <c r="A740" s="5">
        <v>738.0</v>
      </c>
      <c r="B740" s="6">
        <v>44650.0</v>
      </c>
      <c r="C740" s="5">
        <v>304.029132080487</v>
      </c>
      <c r="D740" s="5">
        <v>261.753413875023</v>
      </c>
      <c r="E740" s="5">
        <v>340.923694545474</v>
      </c>
      <c r="F740" s="5">
        <v>304.029132080487</v>
      </c>
      <c r="G740" s="5">
        <v>304.029132080487</v>
      </c>
      <c r="H740" s="5">
        <v>-4.15163769990301</v>
      </c>
      <c r="I740" s="5">
        <v>-4.15163769990301</v>
      </c>
      <c r="J740" s="5">
        <v>-4.15163769990301</v>
      </c>
      <c r="K740" s="5">
        <v>0.608132553626737</v>
      </c>
      <c r="L740" s="5">
        <v>0.608132553626737</v>
      </c>
      <c r="M740" s="5">
        <v>0.608132553626737</v>
      </c>
      <c r="N740" s="5">
        <v>-4.75977025352975</v>
      </c>
      <c r="O740" s="5">
        <v>-4.75977025352975</v>
      </c>
      <c r="P740" s="5">
        <v>-4.75977025352975</v>
      </c>
      <c r="Q740" s="5">
        <v>0.0</v>
      </c>
      <c r="R740" s="5">
        <v>0.0</v>
      </c>
      <c r="S740" s="5">
        <v>0.0</v>
      </c>
      <c r="T740" s="5">
        <v>299.877494380584</v>
      </c>
    </row>
    <row r="741">
      <c r="A741" s="5">
        <v>739.0</v>
      </c>
      <c r="B741" s="6">
        <v>44651.0</v>
      </c>
      <c r="C741" s="5">
        <v>303.630037388851</v>
      </c>
      <c r="D741" s="5">
        <v>256.859198707243</v>
      </c>
      <c r="E741" s="5">
        <v>339.824151893425</v>
      </c>
      <c r="F741" s="5">
        <v>303.630037388851</v>
      </c>
      <c r="G741" s="5">
        <v>303.630037388851</v>
      </c>
      <c r="H741" s="5">
        <v>-4.69193063154184</v>
      </c>
      <c r="I741" s="5">
        <v>-4.69193063154184</v>
      </c>
      <c r="J741" s="5">
        <v>-4.69193063154184</v>
      </c>
      <c r="K741" s="5">
        <v>-0.225417905351314</v>
      </c>
      <c r="L741" s="5">
        <v>-0.225417905351314</v>
      </c>
      <c r="M741" s="5">
        <v>-0.225417905351314</v>
      </c>
      <c r="N741" s="5">
        <v>-4.46651272619053</v>
      </c>
      <c r="O741" s="5">
        <v>-4.46651272619053</v>
      </c>
      <c r="P741" s="5">
        <v>-4.46651272619053</v>
      </c>
      <c r="Q741" s="5">
        <v>0.0</v>
      </c>
      <c r="R741" s="5">
        <v>0.0</v>
      </c>
      <c r="S741" s="5">
        <v>0.0</v>
      </c>
      <c r="T741" s="5">
        <v>298.938106757309</v>
      </c>
    </row>
    <row r="742">
      <c r="A742" s="5">
        <v>740.0</v>
      </c>
      <c r="B742" s="6">
        <v>44652.0</v>
      </c>
      <c r="C742" s="5">
        <v>303.230942697215</v>
      </c>
      <c r="D742" s="5">
        <v>258.944676949659</v>
      </c>
      <c r="E742" s="5">
        <v>341.175374198226</v>
      </c>
      <c r="F742" s="5">
        <v>303.230942697215</v>
      </c>
      <c r="G742" s="5">
        <v>303.230942697215</v>
      </c>
      <c r="H742" s="5">
        <v>-5.05512968761094</v>
      </c>
      <c r="I742" s="5">
        <v>-5.05512968761094</v>
      </c>
      <c r="J742" s="5">
        <v>-5.05512968761094</v>
      </c>
      <c r="K742" s="5">
        <v>-0.739640081281172</v>
      </c>
      <c r="L742" s="5">
        <v>-0.739640081281172</v>
      </c>
      <c r="M742" s="5">
        <v>-0.739640081281172</v>
      </c>
      <c r="N742" s="5">
        <v>-4.31548960632977</v>
      </c>
      <c r="O742" s="5">
        <v>-4.31548960632977</v>
      </c>
      <c r="P742" s="5">
        <v>-4.31548960632977</v>
      </c>
      <c r="Q742" s="5">
        <v>0.0</v>
      </c>
      <c r="R742" s="5">
        <v>0.0</v>
      </c>
      <c r="S742" s="5">
        <v>0.0</v>
      </c>
      <c r="T742" s="5">
        <v>298.175813009604</v>
      </c>
    </row>
    <row r="743">
      <c r="A743" s="5">
        <v>741.0</v>
      </c>
      <c r="B743" s="6">
        <v>44655.0</v>
      </c>
      <c r="C743" s="5">
        <v>302.033658622306</v>
      </c>
      <c r="D743" s="5">
        <v>255.964201453278</v>
      </c>
      <c r="E743" s="5">
        <v>338.904471455892</v>
      </c>
      <c r="F743" s="5">
        <v>302.033658622306</v>
      </c>
      <c r="G743" s="5">
        <v>302.033658622306</v>
      </c>
      <c r="H743" s="5">
        <v>-3.47707867315758</v>
      </c>
      <c r="I743" s="5">
        <v>-3.47707867315758</v>
      </c>
      <c r="J743" s="5">
        <v>-3.47707867315758</v>
      </c>
      <c r="K743" s="5">
        <v>1.16457933345081</v>
      </c>
      <c r="L743" s="5">
        <v>1.16457933345081</v>
      </c>
      <c r="M743" s="5">
        <v>1.16457933345081</v>
      </c>
      <c r="N743" s="5">
        <v>-4.64165800660839</v>
      </c>
      <c r="O743" s="5">
        <v>-4.64165800660839</v>
      </c>
      <c r="P743" s="5">
        <v>-4.64165800660839</v>
      </c>
      <c r="Q743" s="5">
        <v>0.0</v>
      </c>
      <c r="R743" s="5">
        <v>0.0</v>
      </c>
      <c r="S743" s="5">
        <v>0.0</v>
      </c>
      <c r="T743" s="5">
        <v>298.556579949149</v>
      </c>
    </row>
    <row r="744">
      <c r="A744" s="5">
        <v>742.0</v>
      </c>
      <c r="B744" s="6">
        <v>44656.0</v>
      </c>
      <c r="C744" s="5">
        <v>301.63456393067</v>
      </c>
      <c r="D744" s="5">
        <v>258.93157073282</v>
      </c>
      <c r="E744" s="5">
        <v>334.884157458355</v>
      </c>
      <c r="F744" s="5">
        <v>301.63456393067</v>
      </c>
      <c r="G744" s="5">
        <v>301.63456393067</v>
      </c>
      <c r="H744" s="5">
        <v>-4.72487897558721</v>
      </c>
      <c r="I744" s="5">
        <v>-4.72487897558721</v>
      </c>
      <c r="J744" s="5">
        <v>-4.72487897558721</v>
      </c>
      <c r="K744" s="5">
        <v>0.247324772138182</v>
      </c>
      <c r="L744" s="5">
        <v>0.247324772138182</v>
      </c>
      <c r="M744" s="5">
        <v>0.247324772138182</v>
      </c>
      <c r="N744" s="5">
        <v>-4.97220374772539</v>
      </c>
      <c r="O744" s="5">
        <v>-4.97220374772539</v>
      </c>
      <c r="P744" s="5">
        <v>-4.97220374772539</v>
      </c>
      <c r="Q744" s="5">
        <v>0.0</v>
      </c>
      <c r="R744" s="5">
        <v>0.0</v>
      </c>
      <c r="S744" s="5">
        <v>0.0</v>
      </c>
      <c r="T744" s="5">
        <v>296.909684955083</v>
      </c>
    </row>
    <row r="745">
      <c r="A745" s="5">
        <v>743.0</v>
      </c>
      <c r="B745" s="6">
        <v>44657.0</v>
      </c>
      <c r="C745" s="5">
        <v>301.235469239034</v>
      </c>
      <c r="D745" s="5">
        <v>258.11982283801</v>
      </c>
      <c r="E745" s="5">
        <v>335.967639813373</v>
      </c>
      <c r="F745" s="5">
        <v>301.235469239034</v>
      </c>
      <c r="G745" s="5">
        <v>301.235469239034</v>
      </c>
      <c r="H745" s="5">
        <v>-4.78155677984586</v>
      </c>
      <c r="I745" s="5">
        <v>-4.78155677984586</v>
      </c>
      <c r="J745" s="5">
        <v>-4.78155677984586</v>
      </c>
      <c r="K745" s="5">
        <v>0.608132553628516</v>
      </c>
      <c r="L745" s="5">
        <v>0.608132553628516</v>
      </c>
      <c r="M745" s="5">
        <v>0.608132553628516</v>
      </c>
      <c r="N745" s="5">
        <v>-5.38968933347437</v>
      </c>
      <c r="O745" s="5">
        <v>-5.38968933347437</v>
      </c>
      <c r="P745" s="5">
        <v>-5.38968933347437</v>
      </c>
      <c r="Q745" s="5">
        <v>0.0</v>
      </c>
      <c r="R745" s="5">
        <v>0.0</v>
      </c>
      <c r="S745" s="5">
        <v>0.0</v>
      </c>
      <c r="T745" s="5">
        <v>296.453912459188</v>
      </c>
    </row>
    <row r="746">
      <c r="A746" s="5">
        <v>744.0</v>
      </c>
      <c r="B746" s="6">
        <v>44658.0</v>
      </c>
      <c r="C746" s="5">
        <v>300.836374547398</v>
      </c>
      <c r="D746" s="5">
        <v>257.254617148057</v>
      </c>
      <c r="E746" s="5">
        <v>330.977871834013</v>
      </c>
      <c r="F746" s="5">
        <v>300.836374547398</v>
      </c>
      <c r="G746" s="5">
        <v>300.836374547398</v>
      </c>
      <c r="H746" s="5">
        <v>-6.10321184729995</v>
      </c>
      <c r="I746" s="5">
        <v>-6.10321184729995</v>
      </c>
      <c r="J746" s="5">
        <v>-6.10321184729995</v>
      </c>
      <c r="K746" s="5">
        <v>-0.225417905350893</v>
      </c>
      <c r="L746" s="5">
        <v>-0.225417905350893</v>
      </c>
      <c r="M746" s="5">
        <v>-0.225417905350893</v>
      </c>
      <c r="N746" s="5">
        <v>-5.87779394194906</v>
      </c>
      <c r="O746" s="5">
        <v>-5.87779394194906</v>
      </c>
      <c r="P746" s="5">
        <v>-5.87779394194906</v>
      </c>
      <c r="Q746" s="5">
        <v>0.0</v>
      </c>
      <c r="R746" s="5">
        <v>0.0</v>
      </c>
      <c r="S746" s="5">
        <v>0.0</v>
      </c>
      <c r="T746" s="5">
        <v>294.733162700098</v>
      </c>
    </row>
    <row r="747">
      <c r="A747" s="5">
        <v>745.0</v>
      </c>
      <c r="B747" s="6">
        <v>44659.0</v>
      </c>
      <c r="C747" s="5">
        <v>300.437279855761</v>
      </c>
      <c r="D747" s="5">
        <v>253.043680124518</v>
      </c>
      <c r="E747" s="5">
        <v>335.397040551605</v>
      </c>
      <c r="F747" s="5">
        <v>300.437279855761</v>
      </c>
      <c r="G747" s="5">
        <v>300.437279855761</v>
      </c>
      <c r="H747" s="5">
        <v>-7.15929633642062</v>
      </c>
      <c r="I747" s="5">
        <v>-7.15929633642062</v>
      </c>
      <c r="J747" s="5">
        <v>-7.15929633642062</v>
      </c>
      <c r="K747" s="5">
        <v>-0.739640081282327</v>
      </c>
      <c r="L747" s="5">
        <v>-0.739640081282327</v>
      </c>
      <c r="M747" s="5">
        <v>-0.739640081282327</v>
      </c>
      <c r="N747" s="5">
        <v>-6.41965625513829</v>
      </c>
      <c r="O747" s="5">
        <v>-6.41965625513829</v>
      </c>
      <c r="P747" s="5">
        <v>-6.41965625513829</v>
      </c>
      <c r="Q747" s="5">
        <v>0.0</v>
      </c>
      <c r="R747" s="5">
        <v>0.0</v>
      </c>
      <c r="S747" s="5">
        <v>0.0</v>
      </c>
      <c r="T747" s="5">
        <v>293.277983519341</v>
      </c>
    </row>
    <row r="748">
      <c r="A748" s="5">
        <v>746.0</v>
      </c>
      <c r="B748" s="6">
        <v>44662.0</v>
      </c>
      <c r="C748" s="5">
        <v>299.239995780853</v>
      </c>
      <c r="D748" s="5">
        <v>250.523473889934</v>
      </c>
      <c r="E748" s="5">
        <v>331.052335566594</v>
      </c>
      <c r="F748" s="5">
        <v>299.239995780853</v>
      </c>
      <c r="G748" s="5">
        <v>299.239995780853</v>
      </c>
      <c r="H748" s="5">
        <v>-7.03762950495941</v>
      </c>
      <c r="I748" s="5">
        <v>-7.03762950495941</v>
      </c>
      <c r="J748" s="5">
        <v>-7.03762950495941</v>
      </c>
      <c r="K748" s="5">
        <v>1.16457933345104</v>
      </c>
      <c r="L748" s="5">
        <v>1.16457933345104</v>
      </c>
      <c r="M748" s="5">
        <v>1.16457933345104</v>
      </c>
      <c r="N748" s="5">
        <v>-8.20220883841045</v>
      </c>
      <c r="O748" s="5">
        <v>-8.20220883841045</v>
      </c>
      <c r="P748" s="5">
        <v>-8.20220883841045</v>
      </c>
      <c r="Q748" s="5">
        <v>0.0</v>
      </c>
      <c r="R748" s="5">
        <v>0.0</v>
      </c>
      <c r="S748" s="5">
        <v>0.0</v>
      </c>
      <c r="T748" s="5">
        <v>292.202366275893</v>
      </c>
    </row>
    <row r="749">
      <c r="A749" s="5">
        <v>747.0</v>
      </c>
      <c r="B749" s="6">
        <v>44663.0</v>
      </c>
      <c r="C749" s="5">
        <v>298.840901089216</v>
      </c>
      <c r="D749" s="5">
        <v>250.460117102187</v>
      </c>
      <c r="E749" s="5">
        <v>331.262370294564</v>
      </c>
      <c r="F749" s="5">
        <v>298.840901089216</v>
      </c>
      <c r="G749" s="5">
        <v>298.840901089216</v>
      </c>
      <c r="H749" s="5">
        <v>-8.55066366659582</v>
      </c>
      <c r="I749" s="5">
        <v>-8.55066366659582</v>
      </c>
      <c r="J749" s="5">
        <v>-8.55066366659582</v>
      </c>
      <c r="K749" s="5">
        <v>0.24732477213827</v>
      </c>
      <c r="L749" s="5">
        <v>0.24732477213827</v>
      </c>
      <c r="M749" s="5">
        <v>0.24732477213827</v>
      </c>
      <c r="N749" s="5">
        <v>-8.79798843873409</v>
      </c>
      <c r="O749" s="5">
        <v>-8.79798843873409</v>
      </c>
      <c r="P749" s="5">
        <v>-8.79798843873409</v>
      </c>
      <c r="Q749" s="5">
        <v>0.0</v>
      </c>
      <c r="R749" s="5">
        <v>0.0</v>
      </c>
      <c r="S749" s="5">
        <v>0.0</v>
      </c>
      <c r="T749" s="5">
        <v>290.290237422621</v>
      </c>
    </row>
    <row r="750">
      <c r="A750" s="5">
        <v>748.0</v>
      </c>
      <c r="B750" s="6">
        <v>44664.0</v>
      </c>
      <c r="C750" s="5">
        <v>298.44180639758</v>
      </c>
      <c r="D750" s="5">
        <v>250.499663715163</v>
      </c>
      <c r="E750" s="5">
        <v>330.60768477684</v>
      </c>
      <c r="F750" s="5">
        <v>298.44180639758</v>
      </c>
      <c r="G750" s="5">
        <v>298.44180639758</v>
      </c>
      <c r="H750" s="5">
        <v>-8.76482125558576</v>
      </c>
      <c r="I750" s="5">
        <v>-8.76482125558576</v>
      </c>
      <c r="J750" s="5">
        <v>-8.76482125558576</v>
      </c>
      <c r="K750" s="5">
        <v>0.608132553624958</v>
      </c>
      <c r="L750" s="5">
        <v>0.608132553624958</v>
      </c>
      <c r="M750" s="5">
        <v>0.608132553624958</v>
      </c>
      <c r="N750" s="5">
        <v>-9.37295380921071</v>
      </c>
      <c r="O750" s="5">
        <v>-9.37295380921071</v>
      </c>
      <c r="P750" s="5">
        <v>-9.37295380921071</v>
      </c>
      <c r="Q750" s="5">
        <v>0.0</v>
      </c>
      <c r="R750" s="5">
        <v>0.0</v>
      </c>
      <c r="S750" s="5">
        <v>0.0</v>
      </c>
      <c r="T750" s="5">
        <v>289.676985141994</v>
      </c>
    </row>
    <row r="751">
      <c r="A751" s="5">
        <v>749.0</v>
      </c>
      <c r="B751" s="6">
        <v>44665.0</v>
      </c>
      <c r="C751" s="5">
        <v>298.042711705944</v>
      </c>
      <c r="D751" s="5">
        <v>245.847639181298</v>
      </c>
      <c r="E751" s="5">
        <v>328.832521725976</v>
      </c>
      <c r="F751" s="5">
        <v>298.042711705944</v>
      </c>
      <c r="G751" s="5">
        <v>298.042711705944</v>
      </c>
      <c r="H751" s="5">
        <v>-10.1425489602391</v>
      </c>
      <c r="I751" s="5">
        <v>-10.1425489602391</v>
      </c>
      <c r="J751" s="5">
        <v>-10.1425489602391</v>
      </c>
      <c r="K751" s="5">
        <v>-0.225417905350472</v>
      </c>
      <c r="L751" s="5">
        <v>-0.225417905350472</v>
      </c>
      <c r="M751" s="5">
        <v>-0.225417905350472</v>
      </c>
      <c r="N751" s="5">
        <v>-9.91713105488868</v>
      </c>
      <c r="O751" s="5">
        <v>-9.91713105488868</v>
      </c>
      <c r="P751" s="5">
        <v>-9.91713105488868</v>
      </c>
      <c r="Q751" s="5">
        <v>0.0</v>
      </c>
      <c r="R751" s="5">
        <v>0.0</v>
      </c>
      <c r="S751" s="5">
        <v>0.0</v>
      </c>
      <c r="T751" s="5">
        <v>287.900162745705</v>
      </c>
    </row>
    <row r="752">
      <c r="A752" s="5">
        <v>750.0</v>
      </c>
      <c r="B752" s="6">
        <v>44669.0</v>
      </c>
      <c r="C752" s="5">
        <v>296.446332939399</v>
      </c>
      <c r="D752" s="5">
        <v>245.399066067156</v>
      </c>
      <c r="E752" s="5">
        <v>324.680741247695</v>
      </c>
      <c r="F752" s="5">
        <v>296.446332939399</v>
      </c>
      <c r="G752" s="5">
        <v>296.446332939399</v>
      </c>
      <c r="H752" s="5">
        <v>-10.5069416478367</v>
      </c>
      <c r="I752" s="5">
        <v>-10.5069416478367</v>
      </c>
      <c r="J752" s="5">
        <v>-10.5069416478367</v>
      </c>
      <c r="K752" s="5">
        <v>1.16457933345137</v>
      </c>
      <c r="L752" s="5">
        <v>1.16457933345137</v>
      </c>
      <c r="M752" s="5">
        <v>1.16457933345137</v>
      </c>
      <c r="N752" s="5">
        <v>-11.6715209812881</v>
      </c>
      <c r="O752" s="5">
        <v>-11.6715209812881</v>
      </c>
      <c r="P752" s="5">
        <v>-11.6715209812881</v>
      </c>
      <c r="Q752" s="5">
        <v>0.0</v>
      </c>
      <c r="R752" s="5">
        <v>0.0</v>
      </c>
      <c r="S752" s="5">
        <v>0.0</v>
      </c>
      <c r="T752" s="5">
        <v>285.939391291562</v>
      </c>
    </row>
    <row r="753">
      <c r="A753" s="5">
        <v>751.0</v>
      </c>
      <c r="B753" s="6">
        <v>44670.0</v>
      </c>
      <c r="C753" s="5">
        <v>296.047238247763</v>
      </c>
      <c r="D753" s="5">
        <v>242.829170942475</v>
      </c>
      <c r="E753" s="5">
        <v>324.380939237622</v>
      </c>
      <c r="F753" s="5">
        <v>296.047238247763</v>
      </c>
      <c r="G753" s="5">
        <v>296.047238247763</v>
      </c>
      <c r="H753" s="5">
        <v>-11.7507914865252</v>
      </c>
      <c r="I753" s="5">
        <v>-11.7507914865252</v>
      </c>
      <c r="J753" s="5">
        <v>-11.7507914865252</v>
      </c>
      <c r="K753" s="5">
        <v>0.247324772138359</v>
      </c>
      <c r="L753" s="5">
        <v>0.247324772138359</v>
      </c>
      <c r="M753" s="5">
        <v>0.247324772138359</v>
      </c>
      <c r="N753" s="5">
        <v>-11.9981162586636</v>
      </c>
      <c r="O753" s="5">
        <v>-11.9981162586636</v>
      </c>
      <c r="P753" s="5">
        <v>-11.9981162586636</v>
      </c>
      <c r="Q753" s="5">
        <v>0.0</v>
      </c>
      <c r="R753" s="5">
        <v>0.0</v>
      </c>
      <c r="S753" s="5">
        <v>0.0</v>
      </c>
      <c r="T753" s="5">
        <v>284.296446761238</v>
      </c>
    </row>
    <row r="754">
      <c r="A754" s="5">
        <v>752.0</v>
      </c>
      <c r="B754" s="6">
        <v>44671.0</v>
      </c>
      <c r="C754" s="5">
        <v>295.648143556127</v>
      </c>
      <c r="D754" s="5">
        <v>243.514622288355</v>
      </c>
      <c r="E754" s="5">
        <v>324.226220675718</v>
      </c>
      <c r="F754" s="5">
        <v>295.648143556127</v>
      </c>
      <c r="G754" s="5">
        <v>295.648143556127</v>
      </c>
      <c r="H754" s="5">
        <v>-11.6777552584343</v>
      </c>
      <c r="I754" s="5">
        <v>-11.6777552584343</v>
      </c>
      <c r="J754" s="5">
        <v>-11.6777552584343</v>
      </c>
      <c r="K754" s="5">
        <v>0.608132553626736</v>
      </c>
      <c r="L754" s="5">
        <v>0.608132553626736</v>
      </c>
      <c r="M754" s="5">
        <v>0.608132553626736</v>
      </c>
      <c r="N754" s="5">
        <v>-12.285887812061</v>
      </c>
      <c r="O754" s="5">
        <v>-12.285887812061</v>
      </c>
      <c r="P754" s="5">
        <v>-12.285887812061</v>
      </c>
      <c r="Q754" s="5">
        <v>0.0</v>
      </c>
      <c r="R754" s="5">
        <v>0.0</v>
      </c>
      <c r="S754" s="5">
        <v>0.0</v>
      </c>
      <c r="T754" s="5">
        <v>283.970388297692</v>
      </c>
    </row>
    <row r="755">
      <c r="A755" s="5">
        <v>753.0</v>
      </c>
      <c r="B755" s="6">
        <v>44672.0</v>
      </c>
      <c r="C755" s="5">
        <v>295.24904886449</v>
      </c>
      <c r="D755" s="5">
        <v>241.489121221243</v>
      </c>
      <c r="E755" s="5">
        <v>322.347842988287</v>
      </c>
      <c r="F755" s="5">
        <v>295.24904886449</v>
      </c>
      <c r="G755" s="5">
        <v>295.24904886449</v>
      </c>
      <c r="H755" s="5">
        <v>-12.7670216996422</v>
      </c>
      <c r="I755" s="5">
        <v>-12.7670216996422</v>
      </c>
      <c r="J755" s="5">
        <v>-12.7670216996422</v>
      </c>
      <c r="K755" s="5">
        <v>-0.225417905348125</v>
      </c>
      <c r="L755" s="5">
        <v>-0.225417905348125</v>
      </c>
      <c r="M755" s="5">
        <v>-0.225417905348125</v>
      </c>
      <c r="N755" s="5">
        <v>-12.5416037942941</v>
      </c>
      <c r="O755" s="5">
        <v>-12.5416037942941</v>
      </c>
      <c r="P755" s="5">
        <v>-12.5416037942941</v>
      </c>
      <c r="Q755" s="5">
        <v>0.0</v>
      </c>
      <c r="R755" s="5">
        <v>0.0</v>
      </c>
      <c r="S755" s="5">
        <v>0.0</v>
      </c>
      <c r="T755" s="5">
        <v>282.482027164848</v>
      </c>
    </row>
    <row r="756">
      <c r="A756" s="5">
        <v>754.0</v>
      </c>
      <c r="B756" s="6">
        <v>44673.0</v>
      </c>
      <c r="C756" s="5">
        <v>294.849954172854</v>
      </c>
      <c r="D756" s="5">
        <v>238.14196135038</v>
      </c>
      <c r="E756" s="5">
        <v>321.188795257001</v>
      </c>
      <c r="F756" s="5">
        <v>294.849954172854</v>
      </c>
      <c r="G756" s="5">
        <v>294.849954172854</v>
      </c>
      <c r="H756" s="5">
        <v>-13.5133845713651</v>
      </c>
      <c r="I756" s="5">
        <v>-13.5133845713651</v>
      </c>
      <c r="J756" s="5">
        <v>-13.5133845713651</v>
      </c>
      <c r="K756" s="5">
        <v>-0.739640081282578</v>
      </c>
      <c r="L756" s="5">
        <v>-0.739640081282578</v>
      </c>
      <c r="M756" s="5">
        <v>-0.739640081282578</v>
      </c>
      <c r="N756" s="5">
        <v>-12.7737444900825</v>
      </c>
      <c r="O756" s="5">
        <v>-12.7737444900825</v>
      </c>
      <c r="P756" s="5">
        <v>-12.7737444900825</v>
      </c>
      <c r="Q756" s="5">
        <v>0.0</v>
      </c>
      <c r="R756" s="5">
        <v>0.0</v>
      </c>
      <c r="S756" s="5">
        <v>0.0</v>
      </c>
      <c r="T756" s="5">
        <v>281.336569601489</v>
      </c>
    </row>
    <row r="757">
      <c r="A757" s="5">
        <v>755.0</v>
      </c>
      <c r="B757" s="6">
        <v>44676.0</v>
      </c>
      <c r="C757" s="5">
        <v>293.652670097945</v>
      </c>
      <c r="D757" s="5">
        <v>243.322937141001</v>
      </c>
      <c r="E757" s="5">
        <v>319.766087484187</v>
      </c>
      <c r="F757" s="5">
        <v>293.652670097945</v>
      </c>
      <c r="G757" s="5">
        <v>293.652670097945</v>
      </c>
      <c r="H757" s="5">
        <v>-12.2667260797003</v>
      </c>
      <c r="I757" s="5">
        <v>-12.2667260797003</v>
      </c>
      <c r="J757" s="5">
        <v>-12.2667260797003</v>
      </c>
      <c r="K757" s="5">
        <v>1.16457933345171</v>
      </c>
      <c r="L757" s="5">
        <v>1.16457933345171</v>
      </c>
      <c r="M757" s="5">
        <v>1.16457933345171</v>
      </c>
      <c r="N757" s="5">
        <v>-13.431305413152</v>
      </c>
      <c r="O757" s="5">
        <v>-13.431305413152</v>
      </c>
      <c r="P757" s="5">
        <v>-13.431305413152</v>
      </c>
      <c r="Q757" s="5">
        <v>0.0</v>
      </c>
      <c r="R757" s="5">
        <v>0.0</v>
      </c>
      <c r="S757" s="5">
        <v>0.0</v>
      </c>
      <c r="T757" s="5">
        <v>281.385944018245</v>
      </c>
    </row>
    <row r="758">
      <c r="A758" s="5">
        <v>756.0</v>
      </c>
      <c r="B758" s="6">
        <v>44677.0</v>
      </c>
      <c r="C758" s="5">
        <v>293.253575406309</v>
      </c>
      <c r="D758" s="5">
        <v>238.866718955027</v>
      </c>
      <c r="E758" s="5">
        <v>319.980846185312</v>
      </c>
      <c r="F758" s="5">
        <v>293.253575406309</v>
      </c>
      <c r="G758" s="5">
        <v>293.253575406309</v>
      </c>
      <c r="H758" s="5">
        <v>-13.4274110456372</v>
      </c>
      <c r="I758" s="5">
        <v>-13.4274110456372</v>
      </c>
      <c r="J758" s="5">
        <v>-13.4274110456372</v>
      </c>
      <c r="K758" s="5">
        <v>0.247324772139744</v>
      </c>
      <c r="L758" s="5">
        <v>0.247324772139744</v>
      </c>
      <c r="M758" s="5">
        <v>0.247324772139744</v>
      </c>
      <c r="N758" s="5">
        <v>-13.6747358177769</v>
      </c>
      <c r="O758" s="5">
        <v>-13.6747358177769</v>
      </c>
      <c r="P758" s="5">
        <v>-13.6747358177769</v>
      </c>
      <c r="Q758" s="5">
        <v>0.0</v>
      </c>
      <c r="R758" s="5">
        <v>0.0</v>
      </c>
      <c r="S758" s="5">
        <v>0.0</v>
      </c>
      <c r="T758" s="5">
        <v>279.826164360672</v>
      </c>
    </row>
    <row r="759">
      <c r="A759" s="5">
        <v>757.0</v>
      </c>
      <c r="B759" s="6">
        <v>44678.0</v>
      </c>
      <c r="C759" s="5">
        <v>292.854480714673</v>
      </c>
      <c r="D759" s="5">
        <v>238.797240804825</v>
      </c>
      <c r="E759" s="5">
        <v>320.099374384341</v>
      </c>
      <c r="F759" s="5">
        <v>292.854480714673</v>
      </c>
      <c r="G759" s="5">
        <v>292.854480714673</v>
      </c>
      <c r="H759" s="5">
        <v>-13.3407213725382</v>
      </c>
      <c r="I759" s="5">
        <v>-13.3407213725382</v>
      </c>
      <c r="J759" s="5">
        <v>-13.3407213725382</v>
      </c>
      <c r="K759" s="5">
        <v>0.608132553625847</v>
      </c>
      <c r="L759" s="5">
        <v>0.608132553625847</v>
      </c>
      <c r="M759" s="5">
        <v>0.608132553625847</v>
      </c>
      <c r="N759" s="5">
        <v>-13.9488539261641</v>
      </c>
      <c r="O759" s="5">
        <v>-13.9488539261641</v>
      </c>
      <c r="P759" s="5">
        <v>-13.9488539261641</v>
      </c>
      <c r="Q759" s="5">
        <v>0.0</v>
      </c>
      <c r="R759" s="5">
        <v>0.0</v>
      </c>
      <c r="S759" s="5">
        <v>0.0</v>
      </c>
      <c r="T759" s="5">
        <v>279.513759342135</v>
      </c>
    </row>
    <row r="760">
      <c r="A760" s="5">
        <v>758.0</v>
      </c>
      <c r="B760" s="6">
        <v>44679.0</v>
      </c>
      <c r="C760" s="5">
        <v>292.455386023037</v>
      </c>
      <c r="D760" s="5">
        <v>238.255891099352</v>
      </c>
      <c r="E760" s="5">
        <v>315.07748194964</v>
      </c>
      <c r="F760" s="5">
        <v>292.455386023037</v>
      </c>
      <c r="G760" s="5">
        <v>292.455386023037</v>
      </c>
      <c r="H760" s="5">
        <v>-14.4892865006305</v>
      </c>
      <c r="I760" s="5">
        <v>-14.4892865006305</v>
      </c>
      <c r="J760" s="5">
        <v>-14.4892865006305</v>
      </c>
      <c r="K760" s="5">
        <v>-0.22541790535109</v>
      </c>
      <c r="L760" s="5">
        <v>-0.22541790535109</v>
      </c>
      <c r="M760" s="5">
        <v>-0.22541790535109</v>
      </c>
      <c r="N760" s="5">
        <v>-14.2638685952794</v>
      </c>
      <c r="O760" s="5">
        <v>-14.2638685952794</v>
      </c>
      <c r="P760" s="5">
        <v>-14.2638685952794</v>
      </c>
      <c r="Q760" s="5">
        <v>0.0</v>
      </c>
      <c r="R760" s="5">
        <v>0.0</v>
      </c>
      <c r="S760" s="5">
        <v>0.0</v>
      </c>
      <c r="T760" s="5">
        <v>277.966099522406</v>
      </c>
    </row>
    <row r="761">
      <c r="A761" s="5">
        <v>759.0</v>
      </c>
      <c r="B761" s="6">
        <v>44680.0</v>
      </c>
      <c r="C761" s="5">
        <v>292.0562913314</v>
      </c>
      <c r="D761" s="5">
        <v>237.457545110555</v>
      </c>
      <c r="E761" s="5">
        <v>317.321951897218</v>
      </c>
      <c r="F761" s="5">
        <v>292.0562913314</v>
      </c>
      <c r="G761" s="5">
        <v>292.0562913314</v>
      </c>
      <c r="H761" s="5">
        <v>-15.3684386624961</v>
      </c>
      <c r="I761" s="5">
        <v>-15.3684386624961</v>
      </c>
      <c r="J761" s="5">
        <v>-15.3684386624961</v>
      </c>
      <c r="K761" s="5">
        <v>-0.739640081280301</v>
      </c>
      <c r="L761" s="5">
        <v>-0.739640081280301</v>
      </c>
      <c r="M761" s="5">
        <v>-0.739640081280301</v>
      </c>
      <c r="N761" s="5">
        <v>-14.6287985812158</v>
      </c>
      <c r="O761" s="5">
        <v>-14.6287985812158</v>
      </c>
      <c r="P761" s="5">
        <v>-14.6287985812158</v>
      </c>
      <c r="Q761" s="5">
        <v>0.0</v>
      </c>
      <c r="R761" s="5">
        <v>0.0</v>
      </c>
      <c r="S761" s="5">
        <v>0.0</v>
      </c>
      <c r="T761" s="5">
        <v>276.687852668904</v>
      </c>
    </row>
    <row r="762">
      <c r="A762" s="5">
        <v>760.0</v>
      </c>
      <c r="B762" s="6">
        <v>44683.0</v>
      </c>
      <c r="C762" s="5">
        <v>290.859007256492</v>
      </c>
      <c r="D762" s="5">
        <v>234.282292142455</v>
      </c>
      <c r="E762" s="5">
        <v>316.829059453817</v>
      </c>
      <c r="F762" s="5">
        <v>290.859007256492</v>
      </c>
      <c r="G762" s="5">
        <v>290.859007256492</v>
      </c>
      <c r="H762" s="5">
        <v>-14.9236741062983</v>
      </c>
      <c r="I762" s="5">
        <v>-14.9236741062983</v>
      </c>
      <c r="J762" s="5">
        <v>-14.9236741062983</v>
      </c>
      <c r="K762" s="5">
        <v>1.16457933345033</v>
      </c>
      <c r="L762" s="5">
        <v>1.16457933345033</v>
      </c>
      <c r="M762" s="5">
        <v>1.16457933345033</v>
      </c>
      <c r="N762" s="5">
        <v>-16.0882534397486</v>
      </c>
      <c r="O762" s="5">
        <v>-16.0882534397486</v>
      </c>
      <c r="P762" s="5">
        <v>-16.0882534397486</v>
      </c>
      <c r="Q762" s="5">
        <v>0.0</v>
      </c>
      <c r="R762" s="5">
        <v>0.0</v>
      </c>
      <c r="S762" s="5">
        <v>0.0</v>
      </c>
      <c r="T762" s="5">
        <v>275.935333150193</v>
      </c>
    </row>
    <row r="763">
      <c r="A763" s="5">
        <v>761.0</v>
      </c>
      <c r="B763" s="6">
        <v>44684.0</v>
      </c>
      <c r="C763" s="5">
        <v>290.459912564856</v>
      </c>
      <c r="D763" s="5">
        <v>234.171892825997</v>
      </c>
      <c r="E763" s="5">
        <v>313.416271733186</v>
      </c>
      <c r="F763" s="5">
        <v>290.459912564856</v>
      </c>
      <c r="G763" s="5">
        <v>290.459912564856</v>
      </c>
      <c r="H763" s="5">
        <v>-16.4604856046977</v>
      </c>
      <c r="I763" s="5">
        <v>-16.4604856046977</v>
      </c>
      <c r="J763" s="5">
        <v>-16.4604856046977</v>
      </c>
      <c r="K763" s="5">
        <v>0.247324772139832</v>
      </c>
      <c r="L763" s="5">
        <v>0.247324772139832</v>
      </c>
      <c r="M763" s="5">
        <v>0.247324772139832</v>
      </c>
      <c r="N763" s="5">
        <v>-16.7078103768375</v>
      </c>
      <c r="O763" s="5">
        <v>-16.7078103768375</v>
      </c>
      <c r="P763" s="5">
        <v>-16.7078103768375</v>
      </c>
      <c r="Q763" s="5">
        <v>0.0</v>
      </c>
      <c r="R763" s="5">
        <v>0.0</v>
      </c>
      <c r="S763" s="5">
        <v>0.0</v>
      </c>
      <c r="T763" s="5">
        <v>273.999426960158</v>
      </c>
    </row>
    <row r="764">
      <c r="A764" s="5">
        <v>762.0</v>
      </c>
      <c r="B764" s="6">
        <v>44685.0</v>
      </c>
      <c r="C764" s="5">
        <v>290.060817873219</v>
      </c>
      <c r="D764" s="5">
        <v>233.176036121158</v>
      </c>
      <c r="E764" s="5">
        <v>308.376251862033</v>
      </c>
      <c r="F764" s="5">
        <v>290.060817873219</v>
      </c>
      <c r="G764" s="5">
        <v>290.060817873219</v>
      </c>
      <c r="H764" s="5">
        <v>-16.7857962456999</v>
      </c>
      <c r="I764" s="5">
        <v>-16.7857962456999</v>
      </c>
      <c r="J764" s="5">
        <v>-16.7857962456999</v>
      </c>
      <c r="K764" s="5">
        <v>0.608132553627626</v>
      </c>
      <c r="L764" s="5">
        <v>0.608132553627626</v>
      </c>
      <c r="M764" s="5">
        <v>0.608132553627626</v>
      </c>
      <c r="N764" s="5">
        <v>-17.3939287993276</v>
      </c>
      <c r="O764" s="5">
        <v>-17.3939287993276</v>
      </c>
      <c r="P764" s="5">
        <v>-17.3939287993276</v>
      </c>
      <c r="Q764" s="5">
        <v>0.0</v>
      </c>
      <c r="R764" s="5">
        <v>0.0</v>
      </c>
      <c r="S764" s="5">
        <v>0.0</v>
      </c>
      <c r="T764" s="5">
        <v>273.275021627519</v>
      </c>
    </row>
    <row r="765">
      <c r="A765" s="5">
        <v>763.0</v>
      </c>
      <c r="B765" s="6">
        <v>44686.0</v>
      </c>
      <c r="C765" s="5">
        <v>289.661723181583</v>
      </c>
      <c r="D765" s="5">
        <v>231.956289690832</v>
      </c>
      <c r="E765" s="5">
        <v>313.081308498312</v>
      </c>
      <c r="F765" s="5">
        <v>289.661723181583</v>
      </c>
      <c r="G765" s="5">
        <v>289.661723181583</v>
      </c>
      <c r="H765" s="5">
        <v>-18.3684260013906</v>
      </c>
      <c r="I765" s="5">
        <v>-18.3684260013906</v>
      </c>
      <c r="J765" s="5">
        <v>-18.3684260013906</v>
      </c>
      <c r="K765" s="5">
        <v>-0.225417905347283</v>
      </c>
      <c r="L765" s="5">
        <v>-0.225417905347283</v>
      </c>
      <c r="M765" s="5">
        <v>-0.225417905347283</v>
      </c>
      <c r="N765" s="5">
        <v>-18.1430080960433</v>
      </c>
      <c r="O765" s="5">
        <v>-18.1430080960433</v>
      </c>
      <c r="P765" s="5">
        <v>-18.1430080960433</v>
      </c>
      <c r="Q765" s="5">
        <v>0.0</v>
      </c>
      <c r="R765" s="5">
        <v>0.0</v>
      </c>
      <c r="S765" s="5">
        <v>0.0</v>
      </c>
      <c r="T765" s="5">
        <v>271.293297180192</v>
      </c>
    </row>
    <row r="766">
      <c r="A766" s="5">
        <v>764.0</v>
      </c>
      <c r="B766" s="6">
        <v>44687.0</v>
      </c>
      <c r="C766" s="5">
        <v>289.262628489947</v>
      </c>
      <c r="D766" s="5">
        <v>226.562296354859</v>
      </c>
      <c r="E766" s="5">
        <v>314.31786410657</v>
      </c>
      <c r="F766" s="5">
        <v>289.262628489947</v>
      </c>
      <c r="G766" s="5">
        <v>289.262628489947</v>
      </c>
      <c r="H766" s="5">
        <v>-19.6886997547886</v>
      </c>
      <c r="I766" s="5">
        <v>-19.6886997547886</v>
      </c>
      <c r="J766" s="5">
        <v>-19.6886997547886</v>
      </c>
      <c r="K766" s="5">
        <v>-0.739640081284889</v>
      </c>
      <c r="L766" s="5">
        <v>-0.739640081284889</v>
      </c>
      <c r="M766" s="5">
        <v>-0.739640081284889</v>
      </c>
      <c r="N766" s="5">
        <v>-18.9490596735037</v>
      </c>
      <c r="O766" s="5">
        <v>-18.9490596735037</v>
      </c>
      <c r="P766" s="5">
        <v>-18.9490596735037</v>
      </c>
      <c r="Q766" s="5">
        <v>0.0</v>
      </c>
      <c r="R766" s="5">
        <v>0.0</v>
      </c>
      <c r="S766" s="5">
        <v>0.0</v>
      </c>
      <c r="T766" s="5">
        <v>269.573928735158</v>
      </c>
    </row>
    <row r="767">
      <c r="A767" s="5">
        <v>765.0</v>
      </c>
      <c r="B767" s="6">
        <v>44690.0</v>
      </c>
      <c r="C767" s="5">
        <v>288.065344415038</v>
      </c>
      <c r="D767" s="5">
        <v>226.512443963871</v>
      </c>
      <c r="E767" s="5">
        <v>309.818596341866</v>
      </c>
      <c r="F767" s="5">
        <v>288.065344415038</v>
      </c>
      <c r="G767" s="5">
        <v>288.065344415038</v>
      </c>
      <c r="H767" s="5">
        <v>-20.4516723936603</v>
      </c>
      <c r="I767" s="5">
        <v>-20.4516723936603</v>
      </c>
      <c r="J767" s="5">
        <v>-20.4516723936603</v>
      </c>
      <c r="K767" s="5">
        <v>1.16457933345066</v>
      </c>
      <c r="L767" s="5">
        <v>1.16457933345066</v>
      </c>
      <c r="M767" s="5">
        <v>1.16457933345066</v>
      </c>
      <c r="N767" s="5">
        <v>-21.616251727111</v>
      </c>
      <c r="O767" s="5">
        <v>-21.616251727111</v>
      </c>
      <c r="P767" s="5">
        <v>-21.616251727111</v>
      </c>
      <c r="Q767" s="5">
        <v>0.0</v>
      </c>
      <c r="R767" s="5">
        <v>0.0</v>
      </c>
      <c r="S767" s="5">
        <v>0.0</v>
      </c>
      <c r="T767" s="5">
        <v>267.613672021378</v>
      </c>
    </row>
    <row r="768">
      <c r="A768" s="5">
        <v>766.0</v>
      </c>
      <c r="B768" s="6">
        <v>44691.0</v>
      </c>
      <c r="C768" s="5">
        <v>287.666249722472</v>
      </c>
      <c r="D768" s="5">
        <v>227.277418556839</v>
      </c>
      <c r="E768" s="5">
        <v>304.502779577409</v>
      </c>
      <c r="F768" s="5">
        <v>287.666249722472</v>
      </c>
      <c r="G768" s="5">
        <v>287.666249722472</v>
      </c>
      <c r="H768" s="5">
        <v>-22.3006937514052</v>
      </c>
      <c r="I768" s="5">
        <v>-22.3006937514052</v>
      </c>
      <c r="J768" s="5">
        <v>-22.3006937514052</v>
      </c>
      <c r="K768" s="5">
        <v>0.247324772138498</v>
      </c>
      <c r="L768" s="5">
        <v>0.247324772138498</v>
      </c>
      <c r="M768" s="5">
        <v>0.247324772138498</v>
      </c>
      <c r="N768" s="5">
        <v>-22.5480185235437</v>
      </c>
      <c r="O768" s="5">
        <v>-22.5480185235437</v>
      </c>
      <c r="P768" s="5">
        <v>-22.5480185235437</v>
      </c>
      <c r="Q768" s="5">
        <v>0.0</v>
      </c>
      <c r="R768" s="5">
        <v>0.0</v>
      </c>
      <c r="S768" s="5">
        <v>0.0</v>
      </c>
      <c r="T768" s="5">
        <v>265.365555971067</v>
      </c>
    </row>
    <row r="769">
      <c r="A769" s="5">
        <v>767.0</v>
      </c>
      <c r="B769" s="6">
        <v>44692.0</v>
      </c>
      <c r="C769" s="5">
        <v>287.267155029905</v>
      </c>
      <c r="D769" s="5">
        <v>220.916829564035</v>
      </c>
      <c r="E769" s="5">
        <v>303.383395285894</v>
      </c>
      <c r="F769" s="5">
        <v>287.267155029905</v>
      </c>
      <c r="G769" s="5">
        <v>287.267155029905</v>
      </c>
      <c r="H769" s="5">
        <v>-22.8692250543958</v>
      </c>
      <c r="I769" s="5">
        <v>-22.8692250543958</v>
      </c>
      <c r="J769" s="5">
        <v>-22.8692250543958</v>
      </c>
      <c r="K769" s="5">
        <v>0.608132553626736</v>
      </c>
      <c r="L769" s="5">
        <v>0.608132553626736</v>
      </c>
      <c r="M769" s="5">
        <v>0.608132553626736</v>
      </c>
      <c r="N769" s="5">
        <v>-23.4773576080226</v>
      </c>
      <c r="O769" s="5">
        <v>-23.4773576080226</v>
      </c>
      <c r="P769" s="5">
        <v>-23.4773576080226</v>
      </c>
      <c r="Q769" s="5">
        <v>0.0</v>
      </c>
      <c r="R769" s="5">
        <v>0.0</v>
      </c>
      <c r="S769" s="5">
        <v>0.0</v>
      </c>
      <c r="T769" s="5">
        <v>264.39792997551</v>
      </c>
    </row>
    <row r="770">
      <c r="A770" s="5">
        <v>768.0</v>
      </c>
      <c r="B770" s="6">
        <v>44693.0</v>
      </c>
      <c r="C770" s="5">
        <v>286.868060337339</v>
      </c>
      <c r="D770" s="5">
        <v>223.601000062568</v>
      </c>
      <c r="E770" s="5">
        <v>302.112670831746</v>
      </c>
      <c r="F770" s="5">
        <v>286.868060337339</v>
      </c>
      <c r="G770" s="5">
        <v>286.868060337339</v>
      </c>
      <c r="H770" s="5">
        <v>-24.6140111717059</v>
      </c>
      <c r="I770" s="5">
        <v>-24.6140111717059</v>
      </c>
      <c r="J770" s="5">
        <v>-24.6140111717059</v>
      </c>
      <c r="K770" s="5">
        <v>-0.225417905350248</v>
      </c>
      <c r="L770" s="5">
        <v>-0.225417905350248</v>
      </c>
      <c r="M770" s="5">
        <v>-0.225417905350248</v>
      </c>
      <c r="N770" s="5">
        <v>-24.3885932663556</v>
      </c>
      <c r="O770" s="5">
        <v>-24.3885932663556</v>
      </c>
      <c r="P770" s="5">
        <v>-24.3885932663556</v>
      </c>
      <c r="Q770" s="5">
        <v>0.0</v>
      </c>
      <c r="R770" s="5">
        <v>0.0</v>
      </c>
      <c r="S770" s="5">
        <v>0.0</v>
      </c>
      <c r="T770" s="5">
        <v>262.254049165633</v>
      </c>
    </row>
    <row r="771">
      <c r="A771" s="5">
        <v>769.0</v>
      </c>
      <c r="B771" s="6">
        <v>44694.0</v>
      </c>
      <c r="C771" s="5">
        <v>286.468965644773</v>
      </c>
      <c r="D771" s="5">
        <v>219.991108843967</v>
      </c>
      <c r="E771" s="5">
        <v>299.849921323879</v>
      </c>
      <c r="F771" s="5">
        <v>286.468965644773</v>
      </c>
      <c r="G771" s="5">
        <v>286.468965644773</v>
      </c>
      <c r="H771" s="5">
        <v>-26.0053209048213</v>
      </c>
      <c r="I771" s="5">
        <v>-26.0053209048213</v>
      </c>
      <c r="J771" s="5">
        <v>-26.0053209048213</v>
      </c>
      <c r="K771" s="5">
        <v>-0.739640081282612</v>
      </c>
      <c r="L771" s="5">
        <v>-0.739640081282612</v>
      </c>
      <c r="M771" s="5">
        <v>-0.739640081282612</v>
      </c>
      <c r="N771" s="5">
        <v>-25.2656808235387</v>
      </c>
      <c r="O771" s="5">
        <v>-25.2656808235387</v>
      </c>
      <c r="P771" s="5">
        <v>-25.2656808235387</v>
      </c>
      <c r="Q771" s="5">
        <v>0.0</v>
      </c>
      <c r="R771" s="5">
        <v>0.0</v>
      </c>
      <c r="S771" s="5">
        <v>0.0</v>
      </c>
      <c r="T771" s="5">
        <v>260.463644739951</v>
      </c>
    </row>
    <row r="772">
      <c r="A772" s="5">
        <v>770.0</v>
      </c>
      <c r="B772" s="6">
        <v>44697.0</v>
      </c>
      <c r="C772" s="5">
        <v>285.271681567073</v>
      </c>
      <c r="D772" s="5">
        <v>217.790797027208</v>
      </c>
      <c r="E772" s="5">
        <v>300.748736964776</v>
      </c>
      <c r="F772" s="5">
        <v>285.271681567073</v>
      </c>
      <c r="G772" s="5">
        <v>285.271681567073</v>
      </c>
      <c r="H772" s="5">
        <v>-26.3704850527373</v>
      </c>
      <c r="I772" s="5">
        <v>-26.3704850527373</v>
      </c>
      <c r="J772" s="5">
        <v>-26.3704850527373</v>
      </c>
      <c r="K772" s="5">
        <v>1.164579333451</v>
      </c>
      <c r="L772" s="5">
        <v>1.164579333451</v>
      </c>
      <c r="M772" s="5">
        <v>1.164579333451</v>
      </c>
      <c r="N772" s="5">
        <v>-27.5350643861883</v>
      </c>
      <c r="O772" s="5">
        <v>-27.5350643861883</v>
      </c>
      <c r="P772" s="5">
        <v>-27.5350643861883</v>
      </c>
      <c r="Q772" s="5">
        <v>0.0</v>
      </c>
      <c r="R772" s="5">
        <v>0.0</v>
      </c>
      <c r="S772" s="5">
        <v>0.0</v>
      </c>
      <c r="T772" s="5">
        <v>258.901196514336</v>
      </c>
    </row>
    <row r="773">
      <c r="A773" s="5">
        <v>771.0</v>
      </c>
      <c r="B773" s="6">
        <v>44698.0</v>
      </c>
      <c r="C773" s="5">
        <v>284.872586874507</v>
      </c>
      <c r="D773" s="5">
        <v>217.060644716538</v>
      </c>
      <c r="E773" s="5">
        <v>296.334305056236</v>
      </c>
      <c r="F773" s="5">
        <v>284.872586874507</v>
      </c>
      <c r="G773" s="5">
        <v>284.872586874507</v>
      </c>
      <c r="H773" s="5">
        <v>-27.8753280645566</v>
      </c>
      <c r="I773" s="5">
        <v>-27.8753280645566</v>
      </c>
      <c r="J773" s="5">
        <v>-27.8753280645566</v>
      </c>
      <c r="K773" s="5">
        <v>0.247324772140009</v>
      </c>
      <c r="L773" s="5">
        <v>0.247324772140009</v>
      </c>
      <c r="M773" s="5">
        <v>0.247324772140009</v>
      </c>
      <c r="N773" s="5">
        <v>-28.1226528366966</v>
      </c>
      <c r="O773" s="5">
        <v>-28.1226528366966</v>
      </c>
      <c r="P773" s="5">
        <v>-28.1226528366966</v>
      </c>
      <c r="Q773" s="5">
        <v>0.0</v>
      </c>
      <c r="R773" s="5">
        <v>0.0</v>
      </c>
      <c r="S773" s="5">
        <v>0.0</v>
      </c>
      <c r="T773" s="5">
        <v>256.99725880995</v>
      </c>
    </row>
    <row r="774">
      <c r="A774" s="5">
        <v>772.0</v>
      </c>
      <c r="B774" s="6">
        <v>44699.0</v>
      </c>
      <c r="C774" s="5">
        <v>284.47349218194</v>
      </c>
      <c r="D774" s="5">
        <v>217.508328659859</v>
      </c>
      <c r="E774" s="5">
        <v>297.985476726992</v>
      </c>
      <c r="F774" s="5">
        <v>284.47349218194</v>
      </c>
      <c r="G774" s="5">
        <v>284.47349218194</v>
      </c>
      <c r="H774" s="5">
        <v>-27.9969516829495</v>
      </c>
      <c r="I774" s="5">
        <v>-27.9969516829495</v>
      </c>
      <c r="J774" s="5">
        <v>-27.9969516829495</v>
      </c>
      <c r="K774" s="5">
        <v>0.6081325536274</v>
      </c>
      <c r="L774" s="5">
        <v>0.6081325536274</v>
      </c>
      <c r="M774" s="5">
        <v>0.6081325536274</v>
      </c>
      <c r="N774" s="5">
        <v>-28.605084236577</v>
      </c>
      <c r="O774" s="5">
        <v>-28.605084236577</v>
      </c>
      <c r="P774" s="5">
        <v>-28.605084236577</v>
      </c>
      <c r="Q774" s="5">
        <v>0.0</v>
      </c>
      <c r="R774" s="5">
        <v>0.0</v>
      </c>
      <c r="S774" s="5">
        <v>0.0</v>
      </c>
      <c r="T774" s="5">
        <v>256.476540498991</v>
      </c>
    </row>
    <row r="775">
      <c r="A775" s="5">
        <v>773.0</v>
      </c>
      <c r="B775" s="6">
        <v>44700.0</v>
      </c>
      <c r="C775" s="5">
        <v>284.074397489374</v>
      </c>
      <c r="D775" s="5">
        <v>214.851085074555</v>
      </c>
      <c r="E775" s="5">
        <v>299.52605745402</v>
      </c>
      <c r="F775" s="5">
        <v>284.074397489374</v>
      </c>
      <c r="G775" s="5">
        <v>284.074397489374</v>
      </c>
      <c r="H775" s="5">
        <v>-29.1980986221191</v>
      </c>
      <c r="I775" s="5">
        <v>-29.1980986221191</v>
      </c>
      <c r="J775" s="5">
        <v>-29.1980986221191</v>
      </c>
      <c r="K775" s="5">
        <v>-0.225417905349827</v>
      </c>
      <c r="L775" s="5">
        <v>-0.225417905349827</v>
      </c>
      <c r="M775" s="5">
        <v>-0.225417905349827</v>
      </c>
      <c r="N775" s="5">
        <v>-28.9726807167693</v>
      </c>
      <c r="O775" s="5">
        <v>-28.9726807167693</v>
      </c>
      <c r="P775" s="5">
        <v>-28.9726807167693</v>
      </c>
      <c r="Q775" s="5">
        <v>0.0</v>
      </c>
      <c r="R775" s="5">
        <v>0.0</v>
      </c>
      <c r="S775" s="5">
        <v>0.0</v>
      </c>
      <c r="T775" s="5">
        <v>254.876298867255</v>
      </c>
    </row>
    <row r="776">
      <c r="A776" s="5">
        <v>774.0</v>
      </c>
      <c r="B776" s="6">
        <v>44701.0</v>
      </c>
      <c r="C776" s="5">
        <v>283.675302796807</v>
      </c>
      <c r="D776" s="5">
        <v>212.057482331063</v>
      </c>
      <c r="E776" s="5">
        <v>295.706298168186</v>
      </c>
      <c r="F776" s="5">
        <v>283.675302796807</v>
      </c>
      <c r="G776" s="5">
        <v>283.675302796807</v>
      </c>
      <c r="H776" s="5">
        <v>-29.957624015116</v>
      </c>
      <c r="I776" s="5">
        <v>-29.957624015116</v>
      </c>
      <c r="J776" s="5">
        <v>-29.957624015116</v>
      </c>
      <c r="K776" s="5">
        <v>-0.739640081280335</v>
      </c>
      <c r="L776" s="5">
        <v>-0.739640081280335</v>
      </c>
      <c r="M776" s="5">
        <v>-0.739640081280335</v>
      </c>
      <c r="N776" s="5">
        <v>-29.2179839338357</v>
      </c>
      <c r="O776" s="5">
        <v>-29.2179839338357</v>
      </c>
      <c r="P776" s="5">
        <v>-29.2179839338357</v>
      </c>
      <c r="Q776" s="5">
        <v>0.0</v>
      </c>
      <c r="R776" s="5">
        <v>0.0</v>
      </c>
      <c r="S776" s="5">
        <v>0.0</v>
      </c>
      <c r="T776" s="5">
        <v>253.717678781691</v>
      </c>
    </row>
    <row r="777">
      <c r="A777" s="5">
        <v>775.0</v>
      </c>
      <c r="B777" s="6">
        <v>44704.0</v>
      </c>
      <c r="C777" s="5">
        <v>282.478018719108</v>
      </c>
      <c r="D777" s="5">
        <v>214.209002138863</v>
      </c>
      <c r="E777" s="5">
        <v>294.343946637999</v>
      </c>
      <c r="F777" s="5">
        <v>282.478018719108</v>
      </c>
      <c r="G777" s="5">
        <v>282.478018719108</v>
      </c>
      <c r="H777" s="5">
        <v>-28.0178757991515</v>
      </c>
      <c r="I777" s="5">
        <v>-28.0178757991515</v>
      </c>
      <c r="J777" s="5">
        <v>-28.0178757991515</v>
      </c>
      <c r="K777" s="5">
        <v>1.16457933344951</v>
      </c>
      <c r="L777" s="5">
        <v>1.16457933344951</v>
      </c>
      <c r="M777" s="5">
        <v>1.16457933344951</v>
      </c>
      <c r="N777" s="5">
        <v>-29.182455132601</v>
      </c>
      <c r="O777" s="5">
        <v>-29.182455132601</v>
      </c>
      <c r="P777" s="5">
        <v>-29.182455132601</v>
      </c>
      <c r="Q777" s="5">
        <v>0.0</v>
      </c>
      <c r="R777" s="5">
        <v>0.0</v>
      </c>
      <c r="S777" s="5">
        <v>0.0</v>
      </c>
      <c r="T777" s="5">
        <v>254.460142919957</v>
      </c>
    </row>
    <row r="778">
      <c r="A778" s="5">
        <v>776.0</v>
      </c>
      <c r="B778" s="6">
        <v>44705.0</v>
      </c>
      <c r="C778" s="5">
        <v>282.078924026542</v>
      </c>
      <c r="D778" s="5">
        <v>214.222158415741</v>
      </c>
      <c r="E778" s="5">
        <v>292.350792564569</v>
      </c>
      <c r="F778" s="5">
        <v>282.078924026542</v>
      </c>
      <c r="G778" s="5">
        <v>282.078924026542</v>
      </c>
      <c r="H778" s="5">
        <v>-28.6664491523133</v>
      </c>
      <c r="I778" s="5">
        <v>-28.6664491523133</v>
      </c>
      <c r="J778" s="5">
        <v>-28.6664491523133</v>
      </c>
      <c r="K778" s="5">
        <v>0.247324772138675</v>
      </c>
      <c r="L778" s="5">
        <v>0.247324772138675</v>
      </c>
      <c r="M778" s="5">
        <v>0.247324772138675</v>
      </c>
      <c r="N778" s="5">
        <v>-28.9137739244519</v>
      </c>
      <c r="O778" s="5">
        <v>-28.9137739244519</v>
      </c>
      <c r="P778" s="5">
        <v>-28.9137739244519</v>
      </c>
      <c r="Q778" s="5">
        <v>0.0</v>
      </c>
      <c r="R778" s="5">
        <v>0.0</v>
      </c>
      <c r="S778" s="5">
        <v>0.0</v>
      </c>
      <c r="T778" s="5">
        <v>253.412474874228</v>
      </c>
    </row>
    <row r="779">
      <c r="A779" s="5">
        <v>777.0</v>
      </c>
      <c r="B779" s="6">
        <v>44706.0</v>
      </c>
      <c r="C779" s="5">
        <v>281.679829333975</v>
      </c>
      <c r="D779" s="5">
        <v>212.804504506639</v>
      </c>
      <c r="E779" s="5">
        <v>292.384285969553</v>
      </c>
      <c r="F779" s="5">
        <v>281.679829333975</v>
      </c>
      <c r="G779" s="5">
        <v>281.679829333975</v>
      </c>
      <c r="H779" s="5">
        <v>-27.9150828099675</v>
      </c>
      <c r="I779" s="5">
        <v>-27.9150828099675</v>
      </c>
      <c r="J779" s="5">
        <v>-27.9150828099675</v>
      </c>
      <c r="K779" s="5">
        <v>0.608132553626511</v>
      </c>
      <c r="L779" s="5">
        <v>0.608132553626511</v>
      </c>
      <c r="M779" s="5">
        <v>0.608132553626511</v>
      </c>
      <c r="N779" s="5">
        <v>-28.523215363594</v>
      </c>
      <c r="O779" s="5">
        <v>-28.523215363594</v>
      </c>
      <c r="P779" s="5">
        <v>-28.523215363594</v>
      </c>
      <c r="Q779" s="5">
        <v>0.0</v>
      </c>
      <c r="R779" s="5">
        <v>0.0</v>
      </c>
      <c r="S779" s="5">
        <v>0.0</v>
      </c>
      <c r="T779" s="5">
        <v>253.764746524008</v>
      </c>
    </row>
    <row r="780">
      <c r="A780" s="5">
        <v>778.0</v>
      </c>
      <c r="B780" s="6">
        <v>44707.0</v>
      </c>
      <c r="C780" s="5">
        <v>281.280734641409</v>
      </c>
      <c r="D780" s="5">
        <v>213.935657153418</v>
      </c>
      <c r="E780" s="5">
        <v>292.444049451716</v>
      </c>
      <c r="F780" s="5">
        <v>281.280734641409</v>
      </c>
      <c r="G780" s="5">
        <v>281.280734641409</v>
      </c>
      <c r="H780" s="5">
        <v>-28.243733549338</v>
      </c>
      <c r="I780" s="5">
        <v>-28.243733549338</v>
      </c>
      <c r="J780" s="5">
        <v>-28.243733549338</v>
      </c>
      <c r="K780" s="5">
        <v>-0.225417905347479</v>
      </c>
      <c r="L780" s="5">
        <v>-0.225417905347479</v>
      </c>
      <c r="M780" s="5">
        <v>-0.225417905347479</v>
      </c>
      <c r="N780" s="5">
        <v>-28.0183156439905</v>
      </c>
      <c r="O780" s="5">
        <v>-28.0183156439905</v>
      </c>
      <c r="P780" s="5">
        <v>-28.0183156439905</v>
      </c>
      <c r="Q780" s="5">
        <v>0.0</v>
      </c>
      <c r="R780" s="5">
        <v>0.0</v>
      </c>
      <c r="S780" s="5">
        <v>0.0</v>
      </c>
      <c r="T780" s="5">
        <v>253.037001092071</v>
      </c>
    </row>
    <row r="781">
      <c r="A781" s="5">
        <v>779.0</v>
      </c>
      <c r="B781" s="6">
        <v>44708.0</v>
      </c>
      <c r="C781" s="5">
        <v>280.881639948842</v>
      </c>
      <c r="D781" s="5">
        <v>212.510261768113</v>
      </c>
      <c r="E781" s="5">
        <v>291.775991776261</v>
      </c>
      <c r="F781" s="5">
        <v>280.881639948842</v>
      </c>
      <c r="G781" s="5">
        <v>280.881639948842</v>
      </c>
      <c r="H781" s="5">
        <v>-28.1483895668438</v>
      </c>
      <c r="I781" s="5">
        <v>-28.1483895668438</v>
      </c>
      <c r="J781" s="5">
        <v>-28.1483895668438</v>
      </c>
      <c r="K781" s="5">
        <v>-0.739640081281491</v>
      </c>
      <c r="L781" s="5">
        <v>-0.739640081281491</v>
      </c>
      <c r="M781" s="5">
        <v>-0.739640081281491</v>
      </c>
      <c r="N781" s="5">
        <v>-27.4087494855623</v>
      </c>
      <c r="O781" s="5">
        <v>-27.4087494855623</v>
      </c>
      <c r="P781" s="5">
        <v>-27.4087494855623</v>
      </c>
      <c r="Q781" s="5">
        <v>0.0</v>
      </c>
      <c r="R781" s="5">
        <v>0.0</v>
      </c>
      <c r="S781" s="5">
        <v>0.0</v>
      </c>
      <c r="T781" s="5">
        <v>252.733250381998</v>
      </c>
    </row>
    <row r="782">
      <c r="A782" s="5">
        <v>780.0</v>
      </c>
      <c r="B782" s="6">
        <v>44712.0</v>
      </c>
      <c r="C782" s="5">
        <v>279.285261178576</v>
      </c>
      <c r="D782" s="5">
        <v>215.554221097503</v>
      </c>
      <c r="E782" s="5">
        <v>298.971785830133</v>
      </c>
      <c r="F782" s="5">
        <v>279.285261178576</v>
      </c>
      <c r="G782" s="5">
        <v>279.285261178576</v>
      </c>
      <c r="H782" s="5">
        <v>-23.928532276137</v>
      </c>
      <c r="I782" s="5">
        <v>-23.928532276137</v>
      </c>
      <c r="J782" s="5">
        <v>-23.928532276137</v>
      </c>
      <c r="K782" s="5">
        <v>0.24732477213734</v>
      </c>
      <c r="L782" s="5">
        <v>0.24732477213734</v>
      </c>
      <c r="M782" s="5">
        <v>0.24732477213734</v>
      </c>
      <c r="N782" s="5">
        <v>-24.1758570482743</v>
      </c>
      <c r="O782" s="5">
        <v>-24.1758570482743</v>
      </c>
      <c r="P782" s="5">
        <v>-24.1758570482743</v>
      </c>
      <c r="Q782" s="5">
        <v>0.0</v>
      </c>
      <c r="R782" s="5">
        <v>0.0</v>
      </c>
      <c r="S782" s="5">
        <v>0.0</v>
      </c>
      <c r="T782" s="5">
        <v>255.356728902439</v>
      </c>
    </row>
    <row r="783">
      <c r="A783" s="5">
        <v>781.0</v>
      </c>
      <c r="B783" s="6">
        <v>44713.0</v>
      </c>
      <c r="C783" s="5">
        <v>278.88616648601</v>
      </c>
      <c r="D783" s="5">
        <v>217.044813544645</v>
      </c>
      <c r="E783" s="5">
        <v>296.965750591494</v>
      </c>
      <c r="F783" s="5">
        <v>278.88616648601</v>
      </c>
      <c r="G783" s="5">
        <v>278.88616648601</v>
      </c>
      <c r="H783" s="5">
        <v>-22.6335908363341</v>
      </c>
      <c r="I783" s="5">
        <v>-22.6335908363341</v>
      </c>
      <c r="J783" s="5">
        <v>-22.6335908363341</v>
      </c>
      <c r="K783" s="5">
        <v>0.60813255362829</v>
      </c>
      <c r="L783" s="5">
        <v>0.60813255362829</v>
      </c>
      <c r="M783" s="5">
        <v>0.60813255362829</v>
      </c>
      <c r="N783" s="5">
        <v>-23.2417233899624</v>
      </c>
      <c r="O783" s="5">
        <v>-23.2417233899624</v>
      </c>
      <c r="P783" s="5">
        <v>-23.2417233899624</v>
      </c>
      <c r="Q783" s="5">
        <v>0.0</v>
      </c>
      <c r="R783" s="5">
        <v>0.0</v>
      </c>
      <c r="S783" s="5">
        <v>0.0</v>
      </c>
      <c r="T783" s="5">
        <v>256.252575649676</v>
      </c>
    </row>
    <row r="784">
      <c r="A784" s="5">
        <v>782.0</v>
      </c>
      <c r="B784" s="6">
        <v>44714.0</v>
      </c>
      <c r="C784" s="5">
        <v>278.487071793444</v>
      </c>
      <c r="D784" s="5">
        <v>212.644767834552</v>
      </c>
      <c r="E784" s="5">
        <v>297.26378792584</v>
      </c>
      <c r="F784" s="5">
        <v>278.487071793444</v>
      </c>
      <c r="G784" s="5">
        <v>278.487071793444</v>
      </c>
      <c r="H784" s="5">
        <v>-22.5134738615664</v>
      </c>
      <c r="I784" s="5">
        <v>-22.5134738615664</v>
      </c>
      <c r="J784" s="5">
        <v>-22.5134738615664</v>
      </c>
      <c r="K784" s="5">
        <v>-0.225417905347058</v>
      </c>
      <c r="L784" s="5">
        <v>-0.225417905347058</v>
      </c>
      <c r="M784" s="5">
        <v>-0.225417905347058</v>
      </c>
      <c r="N784" s="5">
        <v>-22.2880559562194</v>
      </c>
      <c r="O784" s="5">
        <v>-22.2880559562194</v>
      </c>
      <c r="P784" s="5">
        <v>-22.2880559562194</v>
      </c>
      <c r="Q784" s="5">
        <v>0.0</v>
      </c>
      <c r="R784" s="5">
        <v>0.0</v>
      </c>
      <c r="S784" s="5">
        <v>0.0</v>
      </c>
      <c r="T784" s="5">
        <v>255.973597931877</v>
      </c>
    </row>
    <row r="785">
      <c r="A785" s="5">
        <v>783.0</v>
      </c>
      <c r="B785" s="6">
        <v>44715.0</v>
      </c>
      <c r="C785" s="5">
        <v>278.087977100877</v>
      </c>
      <c r="D785" s="5">
        <v>214.065335553032</v>
      </c>
      <c r="E785" s="5">
        <v>298.218506462441</v>
      </c>
      <c r="F785" s="5">
        <v>278.087977100877</v>
      </c>
      <c r="G785" s="5">
        <v>278.087977100877</v>
      </c>
      <c r="H785" s="5">
        <v>-22.0696597786274</v>
      </c>
      <c r="I785" s="5">
        <v>-22.0696597786274</v>
      </c>
      <c r="J785" s="5">
        <v>-22.0696597786274</v>
      </c>
      <c r="K785" s="5">
        <v>-0.739640081277153</v>
      </c>
      <c r="L785" s="5">
        <v>-0.739640081277153</v>
      </c>
      <c r="M785" s="5">
        <v>-0.739640081277153</v>
      </c>
      <c r="N785" s="5">
        <v>-21.3300196973502</v>
      </c>
      <c r="O785" s="5">
        <v>-21.3300196973502</v>
      </c>
      <c r="P785" s="5">
        <v>-21.3300196973502</v>
      </c>
      <c r="Q785" s="5">
        <v>0.0</v>
      </c>
      <c r="R785" s="5">
        <v>0.0</v>
      </c>
      <c r="S785" s="5">
        <v>0.0</v>
      </c>
      <c r="T785" s="5">
        <v>256.01831732225</v>
      </c>
    </row>
    <row r="786">
      <c r="A786" s="5">
        <v>784.0</v>
      </c>
      <c r="B786" s="6">
        <v>44718.0</v>
      </c>
      <c r="C786" s="5">
        <v>276.890693023178</v>
      </c>
      <c r="D786" s="5">
        <v>219.747677423298</v>
      </c>
      <c r="E786" s="5">
        <v>300.359021097859</v>
      </c>
      <c r="F786" s="5">
        <v>276.890693023178</v>
      </c>
      <c r="G786" s="5">
        <v>276.890693023178</v>
      </c>
      <c r="H786" s="5">
        <v>-17.4032711579712</v>
      </c>
      <c r="I786" s="5">
        <v>-17.4032711579712</v>
      </c>
      <c r="J786" s="5">
        <v>-17.4032711579712</v>
      </c>
      <c r="K786" s="5">
        <v>1.16457933345018</v>
      </c>
      <c r="L786" s="5">
        <v>1.16457933345018</v>
      </c>
      <c r="M786" s="5">
        <v>1.16457933345018</v>
      </c>
      <c r="N786" s="5">
        <v>-18.5678504914214</v>
      </c>
      <c r="O786" s="5">
        <v>-18.5678504914214</v>
      </c>
      <c r="P786" s="5">
        <v>-18.5678504914214</v>
      </c>
      <c r="Q786" s="5">
        <v>0.0</v>
      </c>
      <c r="R786" s="5">
        <v>0.0</v>
      </c>
      <c r="S786" s="5">
        <v>0.0</v>
      </c>
      <c r="T786" s="5">
        <v>259.487421865206</v>
      </c>
    </row>
    <row r="787">
      <c r="A787" s="5">
        <v>785.0</v>
      </c>
      <c r="B787" s="6">
        <v>44719.0</v>
      </c>
      <c r="C787" s="5">
        <v>276.491598330611</v>
      </c>
      <c r="D787" s="5">
        <v>220.571856348425</v>
      </c>
      <c r="E787" s="5">
        <v>302.580874281121</v>
      </c>
      <c r="F787" s="5">
        <v>276.491598330611</v>
      </c>
      <c r="G787" s="5">
        <v>276.491598330611</v>
      </c>
      <c r="H787" s="5">
        <v>-17.4763919033928</v>
      </c>
      <c r="I787" s="5">
        <v>-17.4763919033928</v>
      </c>
      <c r="J787" s="5">
        <v>-17.4763919033928</v>
      </c>
      <c r="K787" s="5">
        <v>0.247324772137428</v>
      </c>
      <c r="L787" s="5">
        <v>0.247324772137428</v>
      </c>
      <c r="M787" s="5">
        <v>0.247324772137428</v>
      </c>
      <c r="N787" s="5">
        <v>-17.7237166755302</v>
      </c>
      <c r="O787" s="5">
        <v>-17.7237166755302</v>
      </c>
      <c r="P787" s="5">
        <v>-17.7237166755302</v>
      </c>
      <c r="Q787" s="5">
        <v>0.0</v>
      </c>
      <c r="R787" s="5">
        <v>0.0</v>
      </c>
      <c r="S787" s="5">
        <v>0.0</v>
      </c>
      <c r="T787" s="5">
        <v>259.015206427218</v>
      </c>
    </row>
    <row r="788">
      <c r="A788" s="5">
        <v>786.0</v>
      </c>
      <c r="B788" s="6">
        <v>44720.0</v>
      </c>
      <c r="C788" s="5">
        <v>276.092503638045</v>
      </c>
      <c r="D788" s="5">
        <v>219.427684019868</v>
      </c>
      <c r="E788" s="5">
        <v>299.757667500746</v>
      </c>
      <c r="F788" s="5">
        <v>276.092503638045</v>
      </c>
      <c r="G788" s="5">
        <v>276.092503638045</v>
      </c>
      <c r="H788" s="5">
        <v>-16.3250652215949</v>
      </c>
      <c r="I788" s="5">
        <v>-16.3250652215949</v>
      </c>
      <c r="J788" s="5">
        <v>-16.3250652215949</v>
      </c>
      <c r="K788" s="5">
        <v>0.608132553624731</v>
      </c>
      <c r="L788" s="5">
        <v>0.608132553624731</v>
      </c>
      <c r="M788" s="5">
        <v>0.608132553624731</v>
      </c>
      <c r="N788" s="5">
        <v>-16.9331977752196</v>
      </c>
      <c r="O788" s="5">
        <v>-16.9331977752196</v>
      </c>
      <c r="P788" s="5">
        <v>-16.9331977752196</v>
      </c>
      <c r="Q788" s="5">
        <v>0.0</v>
      </c>
      <c r="R788" s="5">
        <v>0.0</v>
      </c>
      <c r="S788" s="5">
        <v>0.0</v>
      </c>
      <c r="T788" s="5">
        <v>259.76743841645</v>
      </c>
    </row>
    <row r="789">
      <c r="A789" s="5">
        <v>787.0</v>
      </c>
      <c r="B789" s="6">
        <v>44721.0</v>
      </c>
      <c r="C789" s="5">
        <v>275.693408945478</v>
      </c>
      <c r="D789" s="5">
        <v>219.005806921221</v>
      </c>
      <c r="E789" s="5">
        <v>298.647425320243</v>
      </c>
      <c r="F789" s="5">
        <v>275.693408945478</v>
      </c>
      <c r="G789" s="5">
        <v>275.693408945478</v>
      </c>
      <c r="H789" s="5">
        <v>-16.4279040942129</v>
      </c>
      <c r="I789" s="5">
        <v>-16.4279040942129</v>
      </c>
      <c r="J789" s="5">
        <v>-16.4279040942129</v>
      </c>
      <c r="K789" s="5">
        <v>-0.225417905346638</v>
      </c>
      <c r="L789" s="5">
        <v>-0.225417905346638</v>
      </c>
      <c r="M789" s="5">
        <v>-0.225417905346638</v>
      </c>
      <c r="N789" s="5">
        <v>-16.2024861888662</v>
      </c>
      <c r="O789" s="5">
        <v>-16.2024861888662</v>
      </c>
      <c r="P789" s="5">
        <v>-16.2024861888662</v>
      </c>
      <c r="Q789" s="5">
        <v>0.0</v>
      </c>
      <c r="R789" s="5">
        <v>0.0</v>
      </c>
      <c r="S789" s="5">
        <v>0.0</v>
      </c>
      <c r="T789" s="5">
        <v>259.265504851265</v>
      </c>
    </row>
    <row r="790">
      <c r="A790" s="5">
        <v>788.0</v>
      </c>
      <c r="B790" s="6">
        <v>44722.0</v>
      </c>
      <c r="C790" s="5">
        <v>275.294314252912</v>
      </c>
      <c r="D790" s="5">
        <v>217.530918775298</v>
      </c>
      <c r="E790" s="5">
        <v>300.189625095525</v>
      </c>
      <c r="F790" s="5">
        <v>275.294314252912</v>
      </c>
      <c r="G790" s="5">
        <v>275.294314252912</v>
      </c>
      <c r="H790" s="5">
        <v>-16.2752526421796</v>
      </c>
      <c r="I790" s="5">
        <v>-16.2752526421796</v>
      </c>
      <c r="J790" s="5">
        <v>-16.2752526421796</v>
      </c>
      <c r="K790" s="5">
        <v>-0.739640081281741</v>
      </c>
      <c r="L790" s="5">
        <v>-0.739640081281741</v>
      </c>
      <c r="M790" s="5">
        <v>-0.739640081281741</v>
      </c>
      <c r="N790" s="5">
        <v>-15.5356125608978</v>
      </c>
      <c r="O790" s="5">
        <v>-15.5356125608978</v>
      </c>
      <c r="P790" s="5">
        <v>-15.5356125608978</v>
      </c>
      <c r="Q790" s="5">
        <v>0.0</v>
      </c>
      <c r="R790" s="5">
        <v>0.0</v>
      </c>
      <c r="S790" s="5">
        <v>0.0</v>
      </c>
      <c r="T790" s="5">
        <v>259.019061610732</v>
      </c>
    </row>
    <row r="791">
      <c r="A791" s="5">
        <v>789.0</v>
      </c>
      <c r="B791" s="6">
        <v>44725.0</v>
      </c>
      <c r="C791" s="5">
        <v>274.097030175213</v>
      </c>
      <c r="D791" s="5">
        <v>223.280435159495</v>
      </c>
      <c r="E791" s="5">
        <v>301.433458236957</v>
      </c>
      <c r="F791" s="5">
        <v>274.097030175213</v>
      </c>
      <c r="G791" s="5">
        <v>274.097030175213</v>
      </c>
      <c r="H791" s="5">
        <v>-12.7610845657122</v>
      </c>
      <c r="I791" s="5">
        <v>-12.7610845657122</v>
      </c>
      <c r="J791" s="5">
        <v>-12.7610845657122</v>
      </c>
      <c r="K791" s="5">
        <v>1.16457933345052</v>
      </c>
      <c r="L791" s="5">
        <v>1.16457933345052</v>
      </c>
      <c r="M791" s="5">
        <v>1.16457933345052</v>
      </c>
      <c r="N791" s="5">
        <v>-13.9256638991627</v>
      </c>
      <c r="O791" s="5">
        <v>-13.9256638991627</v>
      </c>
      <c r="P791" s="5">
        <v>-13.9256638991627</v>
      </c>
      <c r="Q791" s="5">
        <v>0.0</v>
      </c>
      <c r="R791" s="5">
        <v>0.0</v>
      </c>
      <c r="S791" s="5">
        <v>0.0</v>
      </c>
      <c r="T791" s="5">
        <v>261.3359456095</v>
      </c>
    </row>
    <row r="792">
      <c r="A792" s="5">
        <v>790.0</v>
      </c>
      <c r="B792" s="6">
        <v>44726.0</v>
      </c>
      <c r="C792" s="5">
        <v>273.697935482646</v>
      </c>
      <c r="D792" s="5">
        <v>221.797479392438</v>
      </c>
      <c r="E792" s="5">
        <v>303.218287953796</v>
      </c>
      <c r="F792" s="5">
        <v>273.697935482646</v>
      </c>
      <c r="G792" s="5">
        <v>273.697935482646</v>
      </c>
      <c r="H792" s="5">
        <v>-13.2640706292621</v>
      </c>
      <c r="I792" s="5">
        <v>-13.2640706292621</v>
      </c>
      <c r="J792" s="5">
        <v>-13.2640706292621</v>
      </c>
      <c r="K792" s="5">
        <v>0.247324772137391</v>
      </c>
      <c r="L792" s="5">
        <v>0.247324772137391</v>
      </c>
      <c r="M792" s="5">
        <v>0.247324772137391</v>
      </c>
      <c r="N792" s="5">
        <v>-13.5113954013995</v>
      </c>
      <c r="O792" s="5">
        <v>-13.5113954013995</v>
      </c>
      <c r="P792" s="5">
        <v>-13.5113954013995</v>
      </c>
      <c r="Q792" s="5">
        <v>0.0</v>
      </c>
      <c r="R792" s="5">
        <v>0.0</v>
      </c>
      <c r="S792" s="5">
        <v>0.0</v>
      </c>
      <c r="T792" s="5">
        <v>260.433864853384</v>
      </c>
    </row>
    <row r="793">
      <c r="A793" s="5">
        <v>791.0</v>
      </c>
      <c r="B793" s="6">
        <v>44727.0</v>
      </c>
      <c r="C793" s="5">
        <v>273.29884079008</v>
      </c>
      <c r="D793" s="5">
        <v>221.745747409949</v>
      </c>
      <c r="E793" s="5">
        <v>298.817612514909</v>
      </c>
      <c r="F793" s="5">
        <v>273.29884079008</v>
      </c>
      <c r="G793" s="5">
        <v>273.29884079008</v>
      </c>
      <c r="H793" s="5">
        <v>-12.541583043992</v>
      </c>
      <c r="I793" s="5">
        <v>-12.541583043992</v>
      </c>
      <c r="J793" s="5">
        <v>-12.541583043992</v>
      </c>
      <c r="K793" s="5">
        <v>0.60813255362651</v>
      </c>
      <c r="L793" s="5">
        <v>0.60813255362651</v>
      </c>
      <c r="M793" s="5">
        <v>0.60813255362651</v>
      </c>
      <c r="N793" s="5">
        <v>-13.1497155976185</v>
      </c>
      <c r="O793" s="5">
        <v>-13.1497155976185</v>
      </c>
      <c r="P793" s="5">
        <v>-13.1497155976185</v>
      </c>
      <c r="Q793" s="5">
        <v>0.0</v>
      </c>
      <c r="R793" s="5">
        <v>0.0</v>
      </c>
      <c r="S793" s="5">
        <v>0.0</v>
      </c>
      <c r="T793" s="5">
        <v>260.757257746088</v>
      </c>
    </row>
    <row r="794">
      <c r="A794" s="5">
        <v>792.0</v>
      </c>
      <c r="B794" s="6">
        <v>44728.0</v>
      </c>
      <c r="C794" s="5">
        <v>272.899746097513</v>
      </c>
      <c r="D794" s="5">
        <v>219.249017684016</v>
      </c>
      <c r="E794" s="5">
        <v>298.181475890325</v>
      </c>
      <c r="F794" s="5">
        <v>272.899746097513</v>
      </c>
      <c r="G794" s="5">
        <v>272.899746097513</v>
      </c>
      <c r="H794" s="5">
        <v>-13.0585232056913</v>
      </c>
      <c r="I794" s="5">
        <v>-13.0585232056913</v>
      </c>
      <c r="J794" s="5">
        <v>-13.0585232056913</v>
      </c>
      <c r="K794" s="5">
        <v>-0.225417905346216</v>
      </c>
      <c r="L794" s="5">
        <v>-0.225417905346216</v>
      </c>
      <c r="M794" s="5">
        <v>-0.225417905346216</v>
      </c>
      <c r="N794" s="5">
        <v>-12.8331053003451</v>
      </c>
      <c r="O794" s="5">
        <v>-12.8331053003451</v>
      </c>
      <c r="P794" s="5">
        <v>-12.8331053003451</v>
      </c>
      <c r="Q794" s="5">
        <v>0.0</v>
      </c>
      <c r="R794" s="5">
        <v>0.0</v>
      </c>
      <c r="S794" s="5">
        <v>0.0</v>
      </c>
      <c r="T794" s="5">
        <v>259.841222891822</v>
      </c>
    </row>
    <row r="795">
      <c r="A795" s="5">
        <v>793.0</v>
      </c>
      <c r="B795" s="6">
        <v>44729.0</v>
      </c>
      <c r="C795" s="5">
        <v>272.500651404947</v>
      </c>
      <c r="D795" s="5">
        <v>216.481597696601</v>
      </c>
      <c r="E795" s="5">
        <v>301.865180401467</v>
      </c>
      <c r="F795" s="5">
        <v>272.500651404947</v>
      </c>
      <c r="G795" s="5">
        <v>272.500651404947</v>
      </c>
      <c r="H795" s="5">
        <v>-13.2924903034975</v>
      </c>
      <c r="I795" s="5">
        <v>-13.2924903034975</v>
      </c>
      <c r="J795" s="5">
        <v>-13.2924903034975</v>
      </c>
      <c r="K795" s="5">
        <v>-0.739640081279464</v>
      </c>
      <c r="L795" s="5">
        <v>-0.739640081279464</v>
      </c>
      <c r="M795" s="5">
        <v>-0.739640081279464</v>
      </c>
      <c r="N795" s="5">
        <v>-12.5528502222181</v>
      </c>
      <c r="O795" s="5">
        <v>-12.5528502222181</v>
      </c>
      <c r="P795" s="5">
        <v>-12.5528502222181</v>
      </c>
      <c r="Q795" s="5">
        <v>0.0</v>
      </c>
      <c r="R795" s="5">
        <v>0.0</v>
      </c>
      <c r="S795" s="5">
        <v>0.0</v>
      </c>
      <c r="T795" s="5">
        <v>259.208161101449</v>
      </c>
    </row>
    <row r="796">
      <c r="A796" s="5">
        <v>794.0</v>
      </c>
      <c r="B796" s="6">
        <v>44733.0</v>
      </c>
      <c r="C796" s="5">
        <v>270.904272634681</v>
      </c>
      <c r="D796" s="5">
        <v>219.080496827072</v>
      </c>
      <c r="E796" s="5">
        <v>298.219871422542</v>
      </c>
      <c r="F796" s="5">
        <v>270.904272634681</v>
      </c>
      <c r="G796" s="5">
        <v>270.904272634681</v>
      </c>
      <c r="H796" s="5">
        <v>-11.3497058091144</v>
      </c>
      <c r="I796" s="5">
        <v>-11.3497058091144</v>
      </c>
      <c r="J796" s="5">
        <v>-11.3497058091144</v>
      </c>
      <c r="K796" s="5">
        <v>0.247324772138903</v>
      </c>
      <c r="L796" s="5">
        <v>0.247324772138903</v>
      </c>
      <c r="M796" s="5">
        <v>0.247324772138903</v>
      </c>
      <c r="N796" s="5">
        <v>-11.5970305812533</v>
      </c>
      <c r="O796" s="5">
        <v>-11.5970305812533</v>
      </c>
      <c r="P796" s="5">
        <v>-11.5970305812533</v>
      </c>
      <c r="Q796" s="5">
        <v>0.0</v>
      </c>
      <c r="R796" s="5">
        <v>0.0</v>
      </c>
      <c r="S796" s="5">
        <v>0.0</v>
      </c>
      <c r="T796" s="5">
        <v>259.554566825567</v>
      </c>
    </row>
    <row r="797">
      <c r="A797" s="5">
        <v>795.0</v>
      </c>
      <c r="B797" s="6">
        <v>44734.0</v>
      </c>
      <c r="C797" s="5">
        <v>270.505177942115</v>
      </c>
      <c r="D797" s="5">
        <v>218.624193826186</v>
      </c>
      <c r="E797" s="5">
        <v>299.928218192544</v>
      </c>
      <c r="F797" s="5">
        <v>270.505177942115</v>
      </c>
      <c r="G797" s="5">
        <v>270.505177942115</v>
      </c>
      <c r="H797" s="5">
        <v>-10.7402784099639</v>
      </c>
      <c r="I797" s="5">
        <v>-10.7402784099639</v>
      </c>
      <c r="J797" s="5">
        <v>-10.7402784099639</v>
      </c>
      <c r="K797" s="5">
        <v>0.608132553624506</v>
      </c>
      <c r="L797" s="5">
        <v>0.608132553624506</v>
      </c>
      <c r="M797" s="5">
        <v>0.608132553624506</v>
      </c>
      <c r="N797" s="5">
        <v>-11.3484109635884</v>
      </c>
      <c r="O797" s="5">
        <v>-11.3484109635884</v>
      </c>
      <c r="P797" s="5">
        <v>-11.3484109635884</v>
      </c>
      <c r="Q797" s="5">
        <v>0.0</v>
      </c>
      <c r="R797" s="5">
        <v>0.0</v>
      </c>
      <c r="S797" s="5">
        <v>0.0</v>
      </c>
      <c r="T797" s="5">
        <v>259.764899532151</v>
      </c>
    </row>
    <row r="798">
      <c r="A798" s="5">
        <v>796.0</v>
      </c>
      <c r="B798" s="6">
        <v>44735.0</v>
      </c>
      <c r="C798" s="5">
        <v>270.106083249548</v>
      </c>
      <c r="D798" s="5">
        <v>222.808278683027</v>
      </c>
      <c r="E798" s="5">
        <v>298.062597590505</v>
      </c>
      <c r="F798" s="5">
        <v>270.106083249548</v>
      </c>
      <c r="G798" s="5">
        <v>270.106083249548</v>
      </c>
      <c r="H798" s="5">
        <v>-11.3022226814436</v>
      </c>
      <c r="I798" s="5">
        <v>-11.3022226814436</v>
      </c>
      <c r="J798" s="5">
        <v>-11.3022226814436</v>
      </c>
      <c r="K798" s="5">
        <v>-0.225417905349181</v>
      </c>
      <c r="L798" s="5">
        <v>-0.225417905349181</v>
      </c>
      <c r="M798" s="5">
        <v>-0.225417905349181</v>
      </c>
      <c r="N798" s="5">
        <v>-11.0768047760944</v>
      </c>
      <c r="O798" s="5">
        <v>-11.0768047760944</v>
      </c>
      <c r="P798" s="5">
        <v>-11.0768047760944</v>
      </c>
      <c r="Q798" s="5">
        <v>0.0</v>
      </c>
      <c r="R798" s="5">
        <v>0.0</v>
      </c>
      <c r="S798" s="5">
        <v>0.0</v>
      </c>
      <c r="T798" s="5">
        <v>258.803860568104</v>
      </c>
    </row>
    <row r="799">
      <c r="A799" s="5">
        <v>797.0</v>
      </c>
      <c r="B799" s="6">
        <v>44736.0</v>
      </c>
      <c r="C799" s="5">
        <v>269.706988556982</v>
      </c>
      <c r="D799" s="5">
        <v>215.984519104101</v>
      </c>
      <c r="E799" s="5">
        <v>299.417689215896</v>
      </c>
      <c r="F799" s="5">
        <v>269.706988556982</v>
      </c>
      <c r="G799" s="5">
        <v>269.706988556982</v>
      </c>
      <c r="H799" s="5">
        <v>-11.5137557297758</v>
      </c>
      <c r="I799" s="5">
        <v>-11.5137557297758</v>
      </c>
      <c r="J799" s="5">
        <v>-11.5137557297758</v>
      </c>
      <c r="K799" s="5">
        <v>-0.73964008128062</v>
      </c>
      <c r="L799" s="5">
        <v>-0.73964008128062</v>
      </c>
      <c r="M799" s="5">
        <v>-0.73964008128062</v>
      </c>
      <c r="N799" s="5">
        <v>-10.7741156484952</v>
      </c>
      <c r="O799" s="5">
        <v>-10.7741156484952</v>
      </c>
      <c r="P799" s="5">
        <v>-10.7741156484952</v>
      </c>
      <c r="Q799" s="5">
        <v>0.0</v>
      </c>
      <c r="R799" s="5">
        <v>0.0</v>
      </c>
      <c r="S799" s="5">
        <v>0.0</v>
      </c>
      <c r="T799" s="5">
        <v>258.193232827206</v>
      </c>
    </row>
    <row r="800">
      <c r="A800" s="5">
        <v>798.0</v>
      </c>
      <c r="B800" s="6">
        <v>44739.0</v>
      </c>
      <c r="C800" s="5">
        <v>268.509704479282</v>
      </c>
      <c r="D800" s="5">
        <v>219.248460589375</v>
      </c>
      <c r="E800" s="5">
        <v>298.863385676452</v>
      </c>
      <c r="F800" s="5">
        <v>268.509704479282</v>
      </c>
      <c r="G800" s="5">
        <v>268.509704479282</v>
      </c>
      <c r="H800" s="5">
        <v>-8.45368260856335</v>
      </c>
      <c r="I800" s="5">
        <v>-8.45368260856335</v>
      </c>
      <c r="J800" s="5">
        <v>-8.45368260856335</v>
      </c>
      <c r="K800" s="5">
        <v>1.16457933345119</v>
      </c>
      <c r="L800" s="5">
        <v>1.16457933345119</v>
      </c>
      <c r="M800" s="5">
        <v>1.16457933345119</v>
      </c>
      <c r="N800" s="5">
        <v>-9.61826194201454</v>
      </c>
      <c r="O800" s="5">
        <v>-9.61826194201454</v>
      </c>
      <c r="P800" s="5">
        <v>-9.61826194201454</v>
      </c>
      <c r="Q800" s="5">
        <v>0.0</v>
      </c>
      <c r="R800" s="5">
        <v>0.0</v>
      </c>
      <c r="S800" s="5">
        <v>0.0</v>
      </c>
      <c r="T800" s="5">
        <v>260.056021870719</v>
      </c>
    </row>
    <row r="801">
      <c r="A801" s="5">
        <v>799.0</v>
      </c>
      <c r="B801" s="6">
        <v>44740.0</v>
      </c>
      <c r="C801" s="5">
        <v>268.110609786716</v>
      </c>
      <c r="D801" s="5">
        <v>220.617755551937</v>
      </c>
      <c r="E801" s="5">
        <v>301.031445805638</v>
      </c>
      <c r="F801" s="5">
        <v>268.110609786716</v>
      </c>
      <c r="G801" s="5">
        <v>268.110609786716</v>
      </c>
      <c r="H801" s="5">
        <v>-8.89029236332348</v>
      </c>
      <c r="I801" s="5">
        <v>-8.89029236332348</v>
      </c>
      <c r="J801" s="5">
        <v>-8.89029236332348</v>
      </c>
      <c r="K801" s="5">
        <v>0.247324772137568</v>
      </c>
      <c r="L801" s="5">
        <v>0.247324772137568</v>
      </c>
      <c r="M801" s="5">
        <v>0.247324772137568</v>
      </c>
      <c r="N801" s="5">
        <v>-9.13761713546105</v>
      </c>
      <c r="O801" s="5">
        <v>-9.13761713546105</v>
      </c>
      <c r="P801" s="5">
        <v>-9.13761713546105</v>
      </c>
      <c r="Q801" s="5">
        <v>0.0</v>
      </c>
      <c r="R801" s="5">
        <v>0.0</v>
      </c>
      <c r="S801" s="5">
        <v>0.0</v>
      </c>
      <c r="T801" s="5">
        <v>259.220317423392</v>
      </c>
    </row>
    <row r="802">
      <c r="A802" s="5">
        <v>800.0</v>
      </c>
      <c r="B802" s="6">
        <v>44741.0</v>
      </c>
      <c r="C802" s="5">
        <v>267.711515094149</v>
      </c>
      <c r="D802" s="5">
        <v>220.202090387349</v>
      </c>
      <c r="E802" s="5">
        <v>299.51036509382</v>
      </c>
      <c r="F802" s="5">
        <v>267.711515094149</v>
      </c>
      <c r="G802" s="5">
        <v>267.711515094149</v>
      </c>
      <c r="H802" s="5">
        <v>-7.99892737489514</v>
      </c>
      <c r="I802" s="5">
        <v>-7.99892737489514</v>
      </c>
      <c r="J802" s="5">
        <v>-7.99892737489514</v>
      </c>
      <c r="K802" s="5">
        <v>0.608132553626285</v>
      </c>
      <c r="L802" s="5">
        <v>0.608132553626285</v>
      </c>
      <c r="M802" s="5">
        <v>0.608132553626285</v>
      </c>
      <c r="N802" s="5">
        <v>-8.60705992852142</v>
      </c>
      <c r="O802" s="5">
        <v>-8.60705992852142</v>
      </c>
      <c r="P802" s="5">
        <v>-8.60705992852142</v>
      </c>
      <c r="Q802" s="5">
        <v>0.0</v>
      </c>
      <c r="R802" s="5">
        <v>0.0</v>
      </c>
      <c r="S802" s="5">
        <v>0.0</v>
      </c>
      <c r="T802" s="5">
        <v>259.712587719254</v>
      </c>
    </row>
    <row r="803">
      <c r="A803" s="5">
        <v>801.0</v>
      </c>
      <c r="B803" s="6">
        <v>44742.0</v>
      </c>
      <c r="C803" s="5">
        <v>267.312420401583</v>
      </c>
      <c r="D803" s="5">
        <v>219.083098247695</v>
      </c>
      <c r="E803" s="5">
        <v>300.913976886124</v>
      </c>
      <c r="F803" s="5">
        <v>267.312420401583</v>
      </c>
      <c r="G803" s="5">
        <v>267.312420401583</v>
      </c>
      <c r="H803" s="5">
        <v>-8.25320253570462</v>
      </c>
      <c r="I803" s="5">
        <v>-8.25320253570462</v>
      </c>
      <c r="J803" s="5">
        <v>-8.25320253570462</v>
      </c>
      <c r="K803" s="5">
        <v>-0.225417905346834</v>
      </c>
      <c r="L803" s="5">
        <v>-0.225417905346834</v>
      </c>
      <c r="M803" s="5">
        <v>-0.225417905346834</v>
      </c>
      <c r="N803" s="5">
        <v>-8.02778463035778</v>
      </c>
      <c r="O803" s="5">
        <v>-8.02778463035778</v>
      </c>
      <c r="P803" s="5">
        <v>-8.02778463035778</v>
      </c>
      <c r="Q803" s="5">
        <v>0.0</v>
      </c>
      <c r="R803" s="5">
        <v>0.0</v>
      </c>
      <c r="S803" s="5">
        <v>0.0</v>
      </c>
      <c r="T803" s="5">
        <v>259.059217865878</v>
      </c>
    </row>
    <row r="804">
      <c r="A804" s="5">
        <v>802.0</v>
      </c>
      <c r="B804" s="6">
        <v>44743.0</v>
      </c>
      <c r="C804" s="5">
        <v>266.913325709016</v>
      </c>
      <c r="D804" s="5">
        <v>217.863087160098</v>
      </c>
      <c r="E804" s="5">
        <v>300.016813513403</v>
      </c>
      <c r="F804" s="5">
        <v>266.913325709016</v>
      </c>
      <c r="G804" s="5">
        <v>266.913325709016</v>
      </c>
      <c r="H804" s="5">
        <v>-8.14224683667282</v>
      </c>
      <c r="I804" s="5">
        <v>-8.14224683667282</v>
      </c>
      <c r="J804" s="5">
        <v>-8.14224683667282</v>
      </c>
      <c r="K804" s="5">
        <v>-0.739640081281775</v>
      </c>
      <c r="L804" s="5">
        <v>-0.739640081281775</v>
      </c>
      <c r="M804" s="5">
        <v>-0.739640081281775</v>
      </c>
      <c r="N804" s="5">
        <v>-7.40260675539105</v>
      </c>
      <c r="O804" s="5">
        <v>-7.40260675539105</v>
      </c>
      <c r="P804" s="5">
        <v>-7.40260675539105</v>
      </c>
      <c r="Q804" s="5">
        <v>0.0</v>
      </c>
      <c r="R804" s="5">
        <v>0.0</v>
      </c>
      <c r="S804" s="5">
        <v>0.0</v>
      </c>
      <c r="T804" s="5">
        <v>258.771078872344</v>
      </c>
    </row>
    <row r="805">
      <c r="A805" s="5">
        <v>803.0</v>
      </c>
      <c r="B805" s="6">
        <v>44747.0</v>
      </c>
      <c r="C805" s="5">
        <v>265.316946938751</v>
      </c>
      <c r="D805" s="5">
        <v>221.569482055774</v>
      </c>
      <c r="E805" s="5">
        <v>298.795551352292</v>
      </c>
      <c r="F805" s="5">
        <v>265.316946938751</v>
      </c>
      <c r="G805" s="5">
        <v>265.316946938751</v>
      </c>
      <c r="H805" s="5">
        <v>-4.30106295501415</v>
      </c>
      <c r="I805" s="5">
        <v>-4.30106295501415</v>
      </c>
      <c r="J805" s="5">
        <v>-4.30106295501415</v>
      </c>
      <c r="K805" s="5">
        <v>0.247324772137656</v>
      </c>
      <c r="L805" s="5">
        <v>0.247324772137656</v>
      </c>
      <c r="M805" s="5">
        <v>0.247324772137656</v>
      </c>
      <c r="N805" s="5">
        <v>-4.5483877271518</v>
      </c>
      <c r="O805" s="5">
        <v>-4.5483877271518</v>
      </c>
      <c r="P805" s="5">
        <v>-4.5483877271518</v>
      </c>
      <c r="Q805" s="5">
        <v>0.0</v>
      </c>
      <c r="R805" s="5">
        <v>0.0</v>
      </c>
      <c r="S805" s="5">
        <v>0.0</v>
      </c>
      <c r="T805" s="5">
        <v>261.015883983737</v>
      </c>
    </row>
    <row r="806">
      <c r="A806" s="5">
        <v>804.0</v>
      </c>
      <c r="B806" s="6">
        <v>44748.0</v>
      </c>
      <c r="C806" s="5">
        <v>264.917852246184</v>
      </c>
      <c r="D806" s="5">
        <v>222.045361032769</v>
      </c>
      <c r="E806" s="5">
        <v>299.132509336506</v>
      </c>
      <c r="F806" s="5">
        <v>264.917852246184</v>
      </c>
      <c r="G806" s="5">
        <v>264.917852246184</v>
      </c>
      <c r="H806" s="5">
        <v>-3.17432078899586</v>
      </c>
      <c r="I806" s="5">
        <v>-3.17432078899586</v>
      </c>
      <c r="J806" s="5">
        <v>-3.17432078899586</v>
      </c>
      <c r="K806" s="5">
        <v>0.608132553628064</v>
      </c>
      <c r="L806" s="5">
        <v>0.608132553628064</v>
      </c>
      <c r="M806" s="5">
        <v>0.608132553628064</v>
      </c>
      <c r="N806" s="5">
        <v>-3.78245334262392</v>
      </c>
      <c r="O806" s="5">
        <v>-3.78245334262392</v>
      </c>
      <c r="P806" s="5">
        <v>-3.78245334262392</v>
      </c>
      <c r="Q806" s="5">
        <v>0.0</v>
      </c>
      <c r="R806" s="5">
        <v>0.0</v>
      </c>
      <c r="S806" s="5">
        <v>0.0</v>
      </c>
      <c r="T806" s="5">
        <v>261.743531457188</v>
      </c>
    </row>
    <row r="807">
      <c r="A807" s="5">
        <v>805.0</v>
      </c>
      <c r="B807" s="6">
        <v>44749.0</v>
      </c>
      <c r="C807" s="5">
        <v>264.518757553618</v>
      </c>
      <c r="D807" s="5">
        <v>218.331540809255</v>
      </c>
      <c r="E807" s="5">
        <v>300.832306837992</v>
      </c>
      <c r="F807" s="5">
        <v>264.518757553618</v>
      </c>
      <c r="G807" s="5">
        <v>264.518757553618</v>
      </c>
      <c r="H807" s="5">
        <v>-3.23791942184094</v>
      </c>
      <c r="I807" s="5">
        <v>-3.23791942184094</v>
      </c>
      <c r="J807" s="5">
        <v>-3.23791942184094</v>
      </c>
      <c r="K807" s="5">
        <v>-0.225417905349799</v>
      </c>
      <c r="L807" s="5">
        <v>-0.225417905349799</v>
      </c>
      <c r="M807" s="5">
        <v>-0.225417905349799</v>
      </c>
      <c r="N807" s="5">
        <v>-3.01250151649114</v>
      </c>
      <c r="O807" s="5">
        <v>-3.01250151649114</v>
      </c>
      <c r="P807" s="5">
        <v>-3.01250151649114</v>
      </c>
      <c r="Q807" s="5">
        <v>0.0</v>
      </c>
      <c r="R807" s="5">
        <v>0.0</v>
      </c>
      <c r="S807" s="5">
        <v>0.0</v>
      </c>
      <c r="T807" s="5">
        <v>261.280838131777</v>
      </c>
    </row>
    <row r="808">
      <c r="A808" s="5">
        <v>806.0</v>
      </c>
      <c r="B808" s="6">
        <v>44750.0</v>
      </c>
      <c r="C808" s="5">
        <v>264.119662861051</v>
      </c>
      <c r="D808" s="5">
        <v>222.925416779443</v>
      </c>
      <c r="E808" s="5">
        <v>302.36065001977</v>
      </c>
      <c r="F808" s="5">
        <v>264.119662861051</v>
      </c>
      <c r="G808" s="5">
        <v>264.119662861051</v>
      </c>
      <c r="H808" s="5">
        <v>-2.98717972102084</v>
      </c>
      <c r="I808" s="5">
        <v>-2.98717972102084</v>
      </c>
      <c r="J808" s="5">
        <v>-2.98717972102084</v>
      </c>
      <c r="K808" s="5">
        <v>-0.739640081282931</v>
      </c>
      <c r="L808" s="5">
        <v>-0.739640081282931</v>
      </c>
      <c r="M808" s="5">
        <v>-0.739640081282931</v>
      </c>
      <c r="N808" s="5">
        <v>-2.24753963973791</v>
      </c>
      <c r="O808" s="5">
        <v>-2.24753963973791</v>
      </c>
      <c r="P808" s="5">
        <v>-2.24753963973791</v>
      </c>
      <c r="Q808" s="5">
        <v>0.0</v>
      </c>
      <c r="R808" s="5">
        <v>0.0</v>
      </c>
      <c r="S808" s="5">
        <v>0.0</v>
      </c>
      <c r="T808" s="5">
        <v>261.132483140031</v>
      </c>
    </row>
    <row r="809">
      <c r="A809" s="5">
        <v>807.0</v>
      </c>
      <c r="B809" s="6">
        <v>44753.0</v>
      </c>
      <c r="C809" s="5">
        <v>262.922378657889</v>
      </c>
      <c r="D809" s="5">
        <v>221.769501208934</v>
      </c>
      <c r="E809" s="5">
        <v>299.861701282447</v>
      </c>
      <c r="F809" s="5">
        <v>262.922378657889</v>
      </c>
      <c r="G809" s="5">
        <v>262.922378657889</v>
      </c>
      <c r="H809" s="5">
        <v>1.09522756926708</v>
      </c>
      <c r="I809" s="5">
        <v>1.09522756926708</v>
      </c>
      <c r="J809" s="5">
        <v>1.09522756926708</v>
      </c>
      <c r="K809" s="5">
        <v>1.16457933345004</v>
      </c>
      <c r="L809" s="5">
        <v>1.16457933345004</v>
      </c>
      <c r="M809" s="5">
        <v>1.16457933345004</v>
      </c>
      <c r="N809" s="5">
        <v>-0.0693517641829562</v>
      </c>
      <c r="O809" s="5">
        <v>-0.0693517641829562</v>
      </c>
      <c r="P809" s="5">
        <v>-0.0693517641829562</v>
      </c>
      <c r="Q809" s="5">
        <v>0.0</v>
      </c>
      <c r="R809" s="5">
        <v>0.0</v>
      </c>
      <c r="S809" s="5">
        <v>0.0</v>
      </c>
      <c r="T809" s="5">
        <v>264.017606227156</v>
      </c>
    </row>
    <row r="810">
      <c r="A810" s="5">
        <v>808.0</v>
      </c>
      <c r="B810" s="6">
        <v>44754.0</v>
      </c>
      <c r="C810" s="5">
        <v>262.523283923502</v>
      </c>
      <c r="D810" s="5">
        <v>219.463051591979</v>
      </c>
      <c r="E810" s="5">
        <v>301.665248620738</v>
      </c>
      <c r="F810" s="5">
        <v>262.523283923502</v>
      </c>
      <c r="G810" s="5">
        <v>262.523283923502</v>
      </c>
      <c r="H810" s="5">
        <v>0.839030815163789</v>
      </c>
      <c r="I810" s="5">
        <v>0.839030815163789</v>
      </c>
      <c r="J810" s="5">
        <v>0.839030815163789</v>
      </c>
      <c r="K810" s="5">
        <v>0.247324772137745</v>
      </c>
      <c r="L810" s="5">
        <v>0.247324772137745</v>
      </c>
      <c r="M810" s="5">
        <v>0.247324772137745</v>
      </c>
      <c r="N810" s="5">
        <v>0.591706043026044</v>
      </c>
      <c r="O810" s="5">
        <v>0.591706043026044</v>
      </c>
      <c r="P810" s="5">
        <v>0.591706043026044</v>
      </c>
      <c r="Q810" s="5">
        <v>0.0</v>
      </c>
      <c r="R810" s="5">
        <v>0.0</v>
      </c>
      <c r="S810" s="5">
        <v>0.0</v>
      </c>
      <c r="T810" s="5">
        <v>263.362314738665</v>
      </c>
    </row>
    <row r="811">
      <c r="A811" s="5">
        <v>809.0</v>
      </c>
      <c r="B811" s="6">
        <v>44755.0</v>
      </c>
      <c r="C811" s="5">
        <v>262.124189189114</v>
      </c>
      <c r="D811" s="5">
        <v>224.121589112833</v>
      </c>
      <c r="E811" s="5">
        <v>304.959866959678</v>
      </c>
      <c r="F811" s="5">
        <v>262.124189189114</v>
      </c>
      <c r="G811" s="5">
        <v>262.124189189114</v>
      </c>
      <c r="H811" s="5">
        <v>1.81749012783694</v>
      </c>
      <c r="I811" s="5">
        <v>1.81749012783694</v>
      </c>
      <c r="J811" s="5">
        <v>1.81749012783694</v>
      </c>
      <c r="K811" s="5">
        <v>0.608132553624506</v>
      </c>
      <c r="L811" s="5">
        <v>0.608132553624506</v>
      </c>
      <c r="M811" s="5">
        <v>0.608132553624506</v>
      </c>
      <c r="N811" s="5">
        <v>1.20935757421244</v>
      </c>
      <c r="O811" s="5">
        <v>1.20935757421244</v>
      </c>
      <c r="P811" s="5">
        <v>1.20935757421244</v>
      </c>
      <c r="Q811" s="5">
        <v>0.0</v>
      </c>
      <c r="R811" s="5">
        <v>0.0</v>
      </c>
      <c r="S811" s="5">
        <v>0.0</v>
      </c>
      <c r="T811" s="5">
        <v>263.941679316951</v>
      </c>
    </row>
    <row r="812">
      <c r="A812" s="5">
        <v>810.0</v>
      </c>
      <c r="B812" s="6">
        <v>44756.0</v>
      </c>
      <c r="C812" s="5">
        <v>261.725094454727</v>
      </c>
      <c r="D812" s="5">
        <v>222.616774132581</v>
      </c>
      <c r="E812" s="5">
        <v>304.94585105536</v>
      </c>
      <c r="F812" s="5">
        <v>261.725094454727</v>
      </c>
      <c r="G812" s="5">
        <v>261.725094454727</v>
      </c>
      <c r="H812" s="5">
        <v>1.55328811007848</v>
      </c>
      <c r="I812" s="5">
        <v>1.55328811007848</v>
      </c>
      <c r="J812" s="5">
        <v>1.55328811007848</v>
      </c>
      <c r="K812" s="5">
        <v>-0.225417905345992</v>
      </c>
      <c r="L812" s="5">
        <v>-0.225417905345992</v>
      </c>
      <c r="M812" s="5">
        <v>-0.225417905345992</v>
      </c>
      <c r="N812" s="5">
        <v>1.77870601542447</v>
      </c>
      <c r="O812" s="5">
        <v>1.77870601542447</v>
      </c>
      <c r="P812" s="5">
        <v>1.77870601542447</v>
      </c>
      <c r="Q812" s="5">
        <v>0.0</v>
      </c>
      <c r="R812" s="5">
        <v>0.0</v>
      </c>
      <c r="S812" s="5">
        <v>0.0</v>
      </c>
      <c r="T812" s="5">
        <v>263.278382564805</v>
      </c>
    </row>
    <row r="813">
      <c r="A813" s="5">
        <v>811.0</v>
      </c>
      <c r="B813" s="6">
        <v>44757.0</v>
      </c>
      <c r="C813" s="5">
        <v>261.325999720339</v>
      </c>
      <c r="D813" s="5">
        <v>219.34298223349</v>
      </c>
      <c r="E813" s="5">
        <v>304.169097843605</v>
      </c>
      <c r="F813" s="5">
        <v>261.325999720339</v>
      </c>
      <c r="G813" s="5">
        <v>261.325999720339</v>
      </c>
      <c r="H813" s="5">
        <v>1.55647846841752</v>
      </c>
      <c r="I813" s="5">
        <v>1.55647846841752</v>
      </c>
      <c r="J813" s="5">
        <v>1.55647846841752</v>
      </c>
      <c r="K813" s="5">
        <v>-0.739640081280654</v>
      </c>
      <c r="L813" s="5">
        <v>-0.739640081280654</v>
      </c>
      <c r="M813" s="5">
        <v>-0.739640081280654</v>
      </c>
      <c r="N813" s="5">
        <v>2.29611854969817</v>
      </c>
      <c r="O813" s="5">
        <v>2.29611854969817</v>
      </c>
      <c r="P813" s="5">
        <v>2.29611854969817</v>
      </c>
      <c r="Q813" s="5">
        <v>0.0</v>
      </c>
      <c r="R813" s="5">
        <v>0.0</v>
      </c>
      <c r="S813" s="5">
        <v>0.0</v>
      </c>
      <c r="T813" s="5">
        <v>262.882478188757</v>
      </c>
    </row>
    <row r="814">
      <c r="A814" s="5">
        <v>812.0</v>
      </c>
      <c r="B814" s="6">
        <v>44760.0</v>
      </c>
      <c r="C814" s="5">
        <v>260.128715517177</v>
      </c>
      <c r="D814" s="5">
        <v>226.978758343172</v>
      </c>
      <c r="E814" s="5">
        <v>305.187800934096</v>
      </c>
      <c r="F814" s="5">
        <v>260.128715517177</v>
      </c>
      <c r="G814" s="5">
        <v>260.128715517177</v>
      </c>
      <c r="H814" s="5">
        <v>4.68499019406796</v>
      </c>
      <c r="I814" s="5">
        <v>4.68499019406796</v>
      </c>
      <c r="J814" s="5">
        <v>4.68499019406796</v>
      </c>
      <c r="K814" s="5">
        <v>1.16457933345027</v>
      </c>
      <c r="L814" s="5">
        <v>1.16457933345027</v>
      </c>
      <c r="M814" s="5">
        <v>1.16457933345027</v>
      </c>
      <c r="N814" s="5">
        <v>3.52041086061768</v>
      </c>
      <c r="O814" s="5">
        <v>3.52041086061768</v>
      </c>
      <c r="P814" s="5">
        <v>3.52041086061768</v>
      </c>
      <c r="Q814" s="5">
        <v>0.0</v>
      </c>
      <c r="R814" s="5">
        <v>0.0</v>
      </c>
      <c r="S814" s="5">
        <v>0.0</v>
      </c>
      <c r="T814" s="5">
        <v>264.813705711245</v>
      </c>
    </row>
    <row r="815">
      <c r="A815" s="5">
        <v>813.0</v>
      </c>
      <c r="B815" s="6">
        <v>44761.0</v>
      </c>
      <c r="C815" s="5">
        <v>259.72962078279</v>
      </c>
      <c r="D815" s="5">
        <v>224.376848566297</v>
      </c>
      <c r="E815" s="5">
        <v>306.494684187405</v>
      </c>
      <c r="F815" s="5">
        <v>259.72962078279</v>
      </c>
      <c r="G815" s="5">
        <v>259.72962078279</v>
      </c>
      <c r="H815" s="5">
        <v>4.06768771787666</v>
      </c>
      <c r="I815" s="5">
        <v>4.06768771787666</v>
      </c>
      <c r="J815" s="5">
        <v>4.06768771787666</v>
      </c>
      <c r="K815" s="5">
        <v>0.24732477213913</v>
      </c>
      <c r="L815" s="5">
        <v>0.24732477213913</v>
      </c>
      <c r="M815" s="5">
        <v>0.24732477213913</v>
      </c>
      <c r="N815" s="5">
        <v>3.82036294573752</v>
      </c>
      <c r="O815" s="5">
        <v>3.82036294573752</v>
      </c>
      <c r="P815" s="5">
        <v>3.82036294573752</v>
      </c>
      <c r="Q815" s="5">
        <v>0.0</v>
      </c>
      <c r="R815" s="5">
        <v>0.0</v>
      </c>
      <c r="S815" s="5">
        <v>0.0</v>
      </c>
      <c r="T815" s="5">
        <v>263.797308500666</v>
      </c>
    </row>
    <row r="816">
      <c r="A816" s="5">
        <v>814.0</v>
      </c>
      <c r="B816" s="6">
        <v>44762.0</v>
      </c>
      <c r="C816" s="5">
        <v>259.330526048402</v>
      </c>
      <c r="D816" s="5">
        <v>221.554364315821</v>
      </c>
      <c r="E816" s="5">
        <v>305.428236648647</v>
      </c>
      <c r="F816" s="5">
        <v>259.330526048402</v>
      </c>
      <c r="G816" s="5">
        <v>259.330526048402</v>
      </c>
      <c r="H816" s="5">
        <v>4.67804935623005</v>
      </c>
      <c r="I816" s="5">
        <v>4.67804935623005</v>
      </c>
      <c r="J816" s="5">
        <v>4.67804935623005</v>
      </c>
      <c r="K816" s="5">
        <v>0.608132553626285</v>
      </c>
      <c r="L816" s="5">
        <v>0.608132553626285</v>
      </c>
      <c r="M816" s="5">
        <v>0.608132553626285</v>
      </c>
      <c r="N816" s="5">
        <v>4.06991680260377</v>
      </c>
      <c r="O816" s="5">
        <v>4.06991680260377</v>
      </c>
      <c r="P816" s="5">
        <v>4.06991680260377</v>
      </c>
      <c r="Q816" s="5">
        <v>0.0</v>
      </c>
      <c r="R816" s="5">
        <v>0.0</v>
      </c>
      <c r="S816" s="5">
        <v>0.0</v>
      </c>
      <c r="T816" s="5">
        <v>264.008575404632</v>
      </c>
    </row>
    <row r="817">
      <c r="A817" s="5">
        <v>815.0</v>
      </c>
      <c r="B817" s="6">
        <v>44763.0</v>
      </c>
      <c r="C817" s="5">
        <v>258.931431314015</v>
      </c>
      <c r="D817" s="5">
        <v>223.487437841292</v>
      </c>
      <c r="E817" s="5">
        <v>303.305818457432</v>
      </c>
      <c r="F817" s="5">
        <v>258.931431314015</v>
      </c>
      <c r="G817" s="5">
        <v>258.931431314015</v>
      </c>
      <c r="H817" s="5">
        <v>4.04747988618364</v>
      </c>
      <c r="I817" s="5">
        <v>4.04747988618364</v>
      </c>
      <c r="J817" s="5">
        <v>4.04747988618364</v>
      </c>
      <c r="K817" s="5">
        <v>-0.225417905348957</v>
      </c>
      <c r="L817" s="5">
        <v>-0.225417905348957</v>
      </c>
      <c r="M817" s="5">
        <v>-0.225417905348957</v>
      </c>
      <c r="N817" s="5">
        <v>4.2728977915326</v>
      </c>
      <c r="O817" s="5">
        <v>4.2728977915326</v>
      </c>
      <c r="P817" s="5">
        <v>4.2728977915326</v>
      </c>
      <c r="Q817" s="5">
        <v>0.0</v>
      </c>
      <c r="R817" s="5">
        <v>0.0</v>
      </c>
      <c r="S817" s="5">
        <v>0.0</v>
      </c>
      <c r="T817" s="5">
        <v>262.978911200198</v>
      </c>
    </row>
    <row r="818">
      <c r="A818" s="5">
        <v>816.0</v>
      </c>
      <c r="B818" s="6">
        <v>44764.0</v>
      </c>
      <c r="C818" s="5">
        <v>258.532336579627</v>
      </c>
      <c r="D818" s="5">
        <v>222.091600797364</v>
      </c>
      <c r="E818" s="5">
        <v>299.469324492614</v>
      </c>
      <c r="F818" s="5">
        <v>258.532336579627</v>
      </c>
      <c r="G818" s="5">
        <v>258.532336579627</v>
      </c>
      <c r="H818" s="5">
        <v>3.69435869107601</v>
      </c>
      <c r="I818" s="5">
        <v>3.69435869107601</v>
      </c>
      <c r="J818" s="5">
        <v>3.69435869107601</v>
      </c>
      <c r="K818" s="5">
        <v>-0.739640081279748</v>
      </c>
      <c r="L818" s="5">
        <v>-0.739640081279748</v>
      </c>
      <c r="M818" s="5">
        <v>-0.739640081279748</v>
      </c>
      <c r="N818" s="5">
        <v>4.43399877235576</v>
      </c>
      <c r="O818" s="5">
        <v>4.43399877235576</v>
      </c>
      <c r="P818" s="5">
        <v>4.43399877235576</v>
      </c>
      <c r="Q818" s="5">
        <v>0.0</v>
      </c>
      <c r="R818" s="5">
        <v>0.0</v>
      </c>
      <c r="S818" s="5">
        <v>0.0</v>
      </c>
      <c r="T818" s="5">
        <v>262.226695270703</v>
      </c>
    </row>
    <row r="819">
      <c r="A819" s="5">
        <v>817.0</v>
      </c>
      <c r="B819" s="6">
        <v>44767.0</v>
      </c>
      <c r="C819" s="5">
        <v>257.335052376465</v>
      </c>
      <c r="D819" s="5">
        <v>221.239943433873</v>
      </c>
      <c r="E819" s="5">
        <v>305.828525455842</v>
      </c>
      <c r="F819" s="5">
        <v>257.335052376465</v>
      </c>
      <c r="G819" s="5">
        <v>257.335052376465</v>
      </c>
      <c r="H819" s="5">
        <v>5.88659373459356</v>
      </c>
      <c r="I819" s="5">
        <v>5.88659373459356</v>
      </c>
      <c r="J819" s="5">
        <v>5.88659373459356</v>
      </c>
      <c r="K819" s="5">
        <v>1.16457933345071</v>
      </c>
      <c r="L819" s="5">
        <v>1.16457933345071</v>
      </c>
      <c r="M819" s="5">
        <v>1.16457933345071</v>
      </c>
      <c r="N819" s="5">
        <v>4.72201440114285</v>
      </c>
      <c r="O819" s="5">
        <v>4.72201440114285</v>
      </c>
      <c r="P819" s="5">
        <v>4.72201440114285</v>
      </c>
      <c r="Q819" s="5">
        <v>0.0</v>
      </c>
      <c r="R819" s="5">
        <v>0.0</v>
      </c>
      <c r="S819" s="5">
        <v>0.0</v>
      </c>
      <c r="T819" s="5">
        <v>263.221646111059</v>
      </c>
    </row>
    <row r="820">
      <c r="A820" s="5">
        <v>818.0</v>
      </c>
      <c r="B820" s="6">
        <v>44768.0</v>
      </c>
      <c r="C820" s="5">
        <v>256.935957642078</v>
      </c>
      <c r="D820" s="5">
        <v>219.346101329178</v>
      </c>
      <c r="E820" s="5">
        <v>302.632710388282</v>
      </c>
      <c r="F820" s="5">
        <v>256.935957642078</v>
      </c>
      <c r="G820" s="5">
        <v>256.935957642078</v>
      </c>
      <c r="H820" s="5">
        <v>5.02051700885625</v>
      </c>
      <c r="I820" s="5">
        <v>5.02051700885625</v>
      </c>
      <c r="J820" s="5">
        <v>5.02051700885625</v>
      </c>
      <c r="K820" s="5">
        <v>0.247324772139219</v>
      </c>
      <c r="L820" s="5">
        <v>0.247324772139219</v>
      </c>
      <c r="M820" s="5">
        <v>0.247324772139219</v>
      </c>
      <c r="N820" s="5">
        <v>4.77319223671703</v>
      </c>
      <c r="O820" s="5">
        <v>4.77319223671703</v>
      </c>
      <c r="P820" s="5">
        <v>4.77319223671703</v>
      </c>
      <c r="Q820" s="5">
        <v>0.0</v>
      </c>
      <c r="R820" s="5">
        <v>0.0</v>
      </c>
      <c r="S820" s="5">
        <v>0.0</v>
      </c>
      <c r="T820" s="5">
        <v>261.956474650934</v>
      </c>
    </row>
    <row r="821">
      <c r="A821" s="5">
        <v>819.0</v>
      </c>
      <c r="B821" s="6">
        <v>44769.0</v>
      </c>
      <c r="C821" s="5">
        <v>256.53686290769</v>
      </c>
      <c r="D821" s="5">
        <v>219.54239575146</v>
      </c>
      <c r="E821" s="5">
        <v>300.405339553103</v>
      </c>
      <c r="F821" s="5">
        <v>256.53686290769</v>
      </c>
      <c r="G821" s="5">
        <v>256.53686290769</v>
      </c>
      <c r="H821" s="5">
        <v>5.42030922251813</v>
      </c>
      <c r="I821" s="5">
        <v>5.42030922251813</v>
      </c>
      <c r="J821" s="5">
        <v>5.42030922251813</v>
      </c>
      <c r="K821" s="5">
        <v>0.608132553626949</v>
      </c>
      <c r="L821" s="5">
        <v>0.608132553626949</v>
      </c>
      <c r="M821" s="5">
        <v>0.608132553626949</v>
      </c>
      <c r="N821" s="5">
        <v>4.81217666889118</v>
      </c>
      <c r="O821" s="5">
        <v>4.81217666889118</v>
      </c>
      <c r="P821" s="5">
        <v>4.81217666889118</v>
      </c>
      <c r="Q821" s="5">
        <v>0.0</v>
      </c>
      <c r="R821" s="5">
        <v>0.0</v>
      </c>
      <c r="S821" s="5">
        <v>0.0</v>
      </c>
      <c r="T821" s="5">
        <v>261.957172130208</v>
      </c>
    </row>
    <row r="822">
      <c r="A822" s="5">
        <v>820.0</v>
      </c>
      <c r="B822" s="6">
        <v>44770.0</v>
      </c>
      <c r="C822" s="5">
        <v>256.137768173303</v>
      </c>
      <c r="D822" s="5">
        <v>218.350751260822</v>
      </c>
      <c r="E822" s="5">
        <v>301.594396126532</v>
      </c>
      <c r="F822" s="5">
        <v>256.137768173303</v>
      </c>
      <c r="G822" s="5">
        <v>256.137768173303</v>
      </c>
      <c r="H822" s="5">
        <v>4.61932506494071</v>
      </c>
      <c r="I822" s="5">
        <v>4.61932506494071</v>
      </c>
      <c r="J822" s="5">
        <v>4.61932506494071</v>
      </c>
      <c r="K822" s="5">
        <v>-0.225417905351922</v>
      </c>
      <c r="L822" s="5">
        <v>-0.225417905351922</v>
      </c>
      <c r="M822" s="5">
        <v>-0.225417905351922</v>
      </c>
      <c r="N822" s="5">
        <v>4.84474297029263</v>
      </c>
      <c r="O822" s="5">
        <v>4.84474297029263</v>
      </c>
      <c r="P822" s="5">
        <v>4.84474297029263</v>
      </c>
      <c r="Q822" s="5">
        <v>0.0</v>
      </c>
      <c r="R822" s="5">
        <v>0.0</v>
      </c>
      <c r="S822" s="5">
        <v>0.0</v>
      </c>
      <c r="T822" s="5">
        <v>260.757093238243</v>
      </c>
    </row>
    <row r="823">
      <c r="A823" s="5">
        <v>821.0</v>
      </c>
      <c r="B823" s="6">
        <v>44771.0</v>
      </c>
      <c r="C823" s="5">
        <v>255.738673438915</v>
      </c>
      <c r="D823" s="5">
        <v>216.894406294621</v>
      </c>
      <c r="E823" s="5">
        <v>301.188344395179</v>
      </c>
      <c r="F823" s="5">
        <v>255.738673438915</v>
      </c>
      <c r="G823" s="5">
        <v>255.738673438915</v>
      </c>
      <c r="H823" s="5">
        <v>4.13654589002799</v>
      </c>
      <c r="I823" s="5">
        <v>4.13654589002799</v>
      </c>
      <c r="J823" s="5">
        <v>4.13654589002799</v>
      </c>
      <c r="K823" s="5">
        <v>-0.739640081277472</v>
      </c>
      <c r="L823" s="5">
        <v>-0.739640081277472</v>
      </c>
      <c r="M823" s="5">
        <v>-0.739640081277472</v>
      </c>
      <c r="N823" s="5">
        <v>4.87618597130546</v>
      </c>
      <c r="O823" s="5">
        <v>4.87618597130546</v>
      </c>
      <c r="P823" s="5">
        <v>4.87618597130546</v>
      </c>
      <c r="Q823" s="5">
        <v>0.0</v>
      </c>
      <c r="R823" s="5">
        <v>0.0</v>
      </c>
      <c r="S823" s="5">
        <v>0.0</v>
      </c>
      <c r="T823" s="5">
        <v>259.875219328943</v>
      </c>
    </row>
    <row r="824">
      <c r="A824" s="5">
        <v>822.0</v>
      </c>
      <c r="B824" s="6">
        <v>44774.0</v>
      </c>
      <c r="C824" s="5">
        <v>254.541389235753</v>
      </c>
      <c r="D824" s="5">
        <v>218.622123435553</v>
      </c>
      <c r="E824" s="5">
        <v>301.231782462209</v>
      </c>
      <c r="F824" s="5">
        <v>254.541389235753</v>
      </c>
      <c r="G824" s="5">
        <v>254.541389235753</v>
      </c>
      <c r="H824" s="5">
        <v>6.17132354030241</v>
      </c>
      <c r="I824" s="5">
        <v>6.17132354030241</v>
      </c>
      <c r="J824" s="5">
        <v>6.17132354030241</v>
      </c>
      <c r="K824" s="5">
        <v>1.16457933345094</v>
      </c>
      <c r="L824" s="5">
        <v>1.16457933345094</v>
      </c>
      <c r="M824" s="5">
        <v>1.16457933345094</v>
      </c>
      <c r="N824" s="5">
        <v>5.00674420685146</v>
      </c>
      <c r="O824" s="5">
        <v>5.00674420685146</v>
      </c>
      <c r="P824" s="5">
        <v>5.00674420685146</v>
      </c>
      <c r="Q824" s="5">
        <v>0.0</v>
      </c>
      <c r="R824" s="5">
        <v>0.0</v>
      </c>
      <c r="S824" s="5">
        <v>0.0</v>
      </c>
      <c r="T824" s="5">
        <v>260.712712776055</v>
      </c>
    </row>
    <row r="825">
      <c r="A825" s="5">
        <v>823.0</v>
      </c>
      <c r="B825" s="6">
        <v>44775.0</v>
      </c>
      <c r="C825" s="5">
        <v>254.142294501366</v>
      </c>
      <c r="D825" s="5">
        <v>219.206227842576</v>
      </c>
      <c r="E825" s="5">
        <v>300.123804252161</v>
      </c>
      <c r="F825" s="5">
        <v>254.142294501366</v>
      </c>
      <c r="G825" s="5">
        <v>254.142294501366</v>
      </c>
      <c r="H825" s="5">
        <v>5.3200282475029</v>
      </c>
      <c r="I825" s="5">
        <v>5.3200282475029</v>
      </c>
      <c r="J825" s="5">
        <v>5.3200282475029</v>
      </c>
      <c r="K825" s="5">
        <v>0.247324772139307</v>
      </c>
      <c r="L825" s="5">
        <v>0.247324772139307</v>
      </c>
      <c r="M825" s="5">
        <v>0.247324772139307</v>
      </c>
      <c r="N825" s="5">
        <v>5.07270347536359</v>
      </c>
      <c r="O825" s="5">
        <v>5.07270347536359</v>
      </c>
      <c r="P825" s="5">
        <v>5.07270347536359</v>
      </c>
      <c r="Q825" s="5">
        <v>0.0</v>
      </c>
      <c r="R825" s="5">
        <v>0.0</v>
      </c>
      <c r="S825" s="5">
        <v>0.0</v>
      </c>
      <c r="T825" s="5">
        <v>259.462322748869</v>
      </c>
    </row>
    <row r="826">
      <c r="A826" s="5">
        <v>824.0</v>
      </c>
      <c r="B826" s="6">
        <v>44776.0</v>
      </c>
      <c r="C826" s="5">
        <v>253.743199766978</v>
      </c>
      <c r="D826" s="5">
        <v>217.452774578081</v>
      </c>
      <c r="E826" s="5">
        <v>297.35216580334</v>
      </c>
      <c r="F826" s="5">
        <v>253.743199766978</v>
      </c>
      <c r="G826" s="5">
        <v>253.743199766978</v>
      </c>
      <c r="H826" s="5">
        <v>5.76106051743917</v>
      </c>
      <c r="I826" s="5">
        <v>5.76106051743917</v>
      </c>
      <c r="J826" s="5">
        <v>5.76106051743917</v>
      </c>
      <c r="K826" s="5">
        <v>0.608132553628728</v>
      </c>
      <c r="L826" s="5">
        <v>0.608132553628728</v>
      </c>
      <c r="M826" s="5">
        <v>0.608132553628728</v>
      </c>
      <c r="N826" s="5">
        <v>5.15292796381045</v>
      </c>
      <c r="O826" s="5">
        <v>5.15292796381045</v>
      </c>
      <c r="P826" s="5">
        <v>5.15292796381045</v>
      </c>
      <c r="Q826" s="5">
        <v>0.0</v>
      </c>
      <c r="R826" s="5">
        <v>0.0</v>
      </c>
      <c r="S826" s="5">
        <v>0.0</v>
      </c>
      <c r="T826" s="5">
        <v>259.504260284417</v>
      </c>
    </row>
    <row r="827">
      <c r="A827" s="5">
        <v>825.0</v>
      </c>
      <c r="B827" s="6">
        <v>44777.0</v>
      </c>
      <c r="C827" s="5">
        <v>253.344105032591</v>
      </c>
      <c r="D827" s="5">
        <v>217.259090555671</v>
      </c>
      <c r="E827" s="5">
        <v>297.899130728199</v>
      </c>
      <c r="F827" s="5">
        <v>253.344105032591</v>
      </c>
      <c r="G827" s="5">
        <v>253.344105032591</v>
      </c>
      <c r="H827" s="5">
        <v>5.02255001110852</v>
      </c>
      <c r="I827" s="5">
        <v>5.02255001110852</v>
      </c>
      <c r="J827" s="5">
        <v>5.02255001110852</v>
      </c>
      <c r="K827" s="5">
        <v>-0.225417905348115</v>
      </c>
      <c r="L827" s="5">
        <v>-0.225417905348115</v>
      </c>
      <c r="M827" s="5">
        <v>-0.225417905348115</v>
      </c>
      <c r="N827" s="5">
        <v>5.24796791645664</v>
      </c>
      <c r="O827" s="5">
        <v>5.24796791645664</v>
      </c>
      <c r="P827" s="5">
        <v>5.24796791645664</v>
      </c>
      <c r="Q827" s="5">
        <v>0.0</v>
      </c>
      <c r="R827" s="5">
        <v>0.0</v>
      </c>
      <c r="S827" s="5">
        <v>0.0</v>
      </c>
      <c r="T827" s="5">
        <v>258.366655043699</v>
      </c>
    </row>
    <row r="828">
      <c r="A828" s="5">
        <v>826.0</v>
      </c>
      <c r="B828" s="6">
        <v>44778.0</v>
      </c>
      <c r="C828" s="5">
        <v>252.945010298203</v>
      </c>
      <c r="D828" s="5">
        <v>218.011292135429</v>
      </c>
      <c r="E828" s="5">
        <v>300.521627102647</v>
      </c>
      <c r="F828" s="5">
        <v>252.945010298203</v>
      </c>
      <c r="G828" s="5">
        <v>252.945010298203</v>
      </c>
      <c r="H828" s="5">
        <v>4.61794956454763</v>
      </c>
      <c r="I828" s="5">
        <v>4.61794956454763</v>
      </c>
      <c r="J828" s="5">
        <v>4.61794956454763</v>
      </c>
      <c r="K828" s="5">
        <v>-0.739640081285492</v>
      </c>
      <c r="L828" s="5">
        <v>-0.739640081285492</v>
      </c>
      <c r="M828" s="5">
        <v>-0.739640081285492</v>
      </c>
      <c r="N828" s="5">
        <v>5.35758964583312</v>
      </c>
      <c r="O828" s="5">
        <v>5.35758964583312</v>
      </c>
      <c r="P828" s="5">
        <v>5.35758964583312</v>
      </c>
      <c r="Q828" s="5">
        <v>0.0</v>
      </c>
      <c r="R828" s="5">
        <v>0.0</v>
      </c>
      <c r="S828" s="5">
        <v>0.0</v>
      </c>
      <c r="T828" s="5">
        <v>257.562959862751</v>
      </c>
    </row>
    <row r="829">
      <c r="A829" s="5">
        <v>827.0</v>
      </c>
      <c r="B829" s="6">
        <v>44781.0</v>
      </c>
      <c r="C829" s="5">
        <v>251.747726095041</v>
      </c>
      <c r="D829" s="5">
        <v>217.709011032176</v>
      </c>
      <c r="E829" s="5">
        <v>298.340859073759</v>
      </c>
      <c r="F829" s="5">
        <v>251.747726095041</v>
      </c>
      <c r="G829" s="5">
        <v>251.747726095041</v>
      </c>
      <c r="H829" s="5">
        <v>6.92649667960707</v>
      </c>
      <c r="I829" s="5">
        <v>6.92649667960707</v>
      </c>
      <c r="J829" s="5">
        <v>6.92649667960707</v>
      </c>
      <c r="K829" s="5">
        <v>1.16457933345117</v>
      </c>
      <c r="L829" s="5">
        <v>1.16457933345117</v>
      </c>
      <c r="M829" s="5">
        <v>1.16457933345117</v>
      </c>
      <c r="N829" s="5">
        <v>5.76191734615589</v>
      </c>
      <c r="O829" s="5">
        <v>5.76191734615589</v>
      </c>
      <c r="P829" s="5">
        <v>5.76191734615589</v>
      </c>
      <c r="Q829" s="5">
        <v>0.0</v>
      </c>
      <c r="R829" s="5">
        <v>0.0</v>
      </c>
      <c r="S829" s="5">
        <v>0.0</v>
      </c>
      <c r="T829" s="5">
        <v>258.674222774648</v>
      </c>
    </row>
    <row r="830">
      <c r="A830" s="5">
        <v>828.0</v>
      </c>
      <c r="B830" s="6">
        <v>44782.0</v>
      </c>
      <c r="C830" s="5">
        <v>251.348631360654</v>
      </c>
      <c r="D830" s="5">
        <v>217.016866949832</v>
      </c>
      <c r="E830" s="5">
        <v>297.863196649667</v>
      </c>
      <c r="F830" s="5">
        <v>251.348631360654</v>
      </c>
      <c r="G830" s="5">
        <v>251.348631360654</v>
      </c>
      <c r="H830" s="5">
        <v>6.16284140226743</v>
      </c>
      <c r="I830" s="5">
        <v>6.16284140226743</v>
      </c>
      <c r="J830" s="5">
        <v>6.16284140226743</v>
      </c>
      <c r="K830" s="5">
        <v>0.247324772137972</v>
      </c>
      <c r="L830" s="5">
        <v>0.247324772137972</v>
      </c>
      <c r="M830" s="5">
        <v>0.247324772137972</v>
      </c>
      <c r="N830" s="5">
        <v>5.91551663012946</v>
      </c>
      <c r="O830" s="5">
        <v>5.91551663012946</v>
      </c>
      <c r="P830" s="5">
        <v>5.91551663012946</v>
      </c>
      <c r="Q830" s="5">
        <v>0.0</v>
      </c>
      <c r="R830" s="5">
        <v>0.0</v>
      </c>
      <c r="S830" s="5">
        <v>0.0</v>
      </c>
      <c r="T830" s="5">
        <v>257.511472762921</v>
      </c>
    </row>
    <row r="831">
      <c r="A831" s="5">
        <v>829.0</v>
      </c>
      <c r="B831" s="6">
        <v>44783.0</v>
      </c>
      <c r="C831" s="5">
        <v>250.949536626266</v>
      </c>
      <c r="D831" s="5">
        <v>216.696761681399</v>
      </c>
      <c r="E831" s="5">
        <v>297.63688003005</v>
      </c>
      <c r="F831" s="5">
        <v>250.949536626266</v>
      </c>
      <c r="G831" s="5">
        <v>250.949536626266</v>
      </c>
      <c r="H831" s="5">
        <v>6.68286524034525</v>
      </c>
      <c r="I831" s="5">
        <v>6.68286524034525</v>
      </c>
      <c r="J831" s="5">
        <v>6.68286524034525</v>
      </c>
      <c r="K831" s="5">
        <v>0.608132553627838</v>
      </c>
      <c r="L831" s="5">
        <v>0.608132553627838</v>
      </c>
      <c r="M831" s="5">
        <v>0.608132553627838</v>
      </c>
      <c r="N831" s="5">
        <v>6.07473268671741</v>
      </c>
      <c r="O831" s="5">
        <v>6.07473268671741</v>
      </c>
      <c r="P831" s="5">
        <v>6.07473268671741</v>
      </c>
      <c r="Q831" s="5">
        <v>0.0</v>
      </c>
      <c r="R831" s="5">
        <v>0.0</v>
      </c>
      <c r="S831" s="5">
        <v>0.0</v>
      </c>
      <c r="T831" s="5">
        <v>257.632401866611</v>
      </c>
    </row>
    <row r="832">
      <c r="A832" s="5">
        <v>830.0</v>
      </c>
      <c r="B832" s="6">
        <v>44784.0</v>
      </c>
      <c r="C832" s="5">
        <v>250.550441891879</v>
      </c>
      <c r="D832" s="5">
        <v>216.976780915585</v>
      </c>
      <c r="E832" s="5">
        <v>296.288737423835</v>
      </c>
      <c r="F832" s="5">
        <v>250.550441891879</v>
      </c>
      <c r="G832" s="5">
        <v>250.550441891879</v>
      </c>
      <c r="H832" s="5">
        <v>6.01183506044423</v>
      </c>
      <c r="I832" s="5">
        <v>6.01183506044423</v>
      </c>
      <c r="J832" s="5">
        <v>6.01183506044423</v>
      </c>
      <c r="K832" s="5">
        <v>-0.22541790535108</v>
      </c>
      <c r="L832" s="5">
        <v>-0.22541790535108</v>
      </c>
      <c r="M832" s="5">
        <v>-0.22541790535108</v>
      </c>
      <c r="N832" s="5">
        <v>6.23725296579531</v>
      </c>
      <c r="O832" s="5">
        <v>6.23725296579531</v>
      </c>
      <c r="P832" s="5">
        <v>6.23725296579531</v>
      </c>
      <c r="Q832" s="5">
        <v>0.0</v>
      </c>
      <c r="R832" s="5">
        <v>0.0</v>
      </c>
      <c r="S832" s="5">
        <v>0.0</v>
      </c>
      <c r="T832" s="5">
        <v>256.562276952323</v>
      </c>
    </row>
    <row r="833">
      <c r="A833" s="5">
        <v>831.0</v>
      </c>
      <c r="B833" s="6">
        <v>44785.0</v>
      </c>
      <c r="C833" s="5">
        <v>250.151347157491</v>
      </c>
      <c r="D833" s="5">
        <v>219.341974630029</v>
      </c>
      <c r="E833" s="5">
        <v>296.699761533732</v>
      </c>
      <c r="F833" s="5">
        <v>250.151347157491</v>
      </c>
      <c r="G833" s="5">
        <v>250.151347157491</v>
      </c>
      <c r="H833" s="5">
        <v>5.6613287725497</v>
      </c>
      <c r="I833" s="5">
        <v>5.6613287725497</v>
      </c>
      <c r="J833" s="5">
        <v>5.6613287725497</v>
      </c>
      <c r="K833" s="5">
        <v>-0.739640081281154</v>
      </c>
      <c r="L833" s="5">
        <v>-0.739640081281154</v>
      </c>
      <c r="M833" s="5">
        <v>-0.739640081281154</v>
      </c>
      <c r="N833" s="5">
        <v>6.40096885383085</v>
      </c>
      <c r="O833" s="5">
        <v>6.40096885383085</v>
      </c>
      <c r="P833" s="5">
        <v>6.40096885383085</v>
      </c>
      <c r="Q833" s="5">
        <v>0.0</v>
      </c>
      <c r="R833" s="5">
        <v>0.0</v>
      </c>
      <c r="S833" s="5">
        <v>0.0</v>
      </c>
      <c r="T833" s="5">
        <v>255.812675930041</v>
      </c>
    </row>
    <row r="834">
      <c r="A834" s="5">
        <v>832.0</v>
      </c>
      <c r="B834" s="6">
        <v>44788.0</v>
      </c>
      <c r="C834" s="5">
        <v>248.954062954329</v>
      </c>
      <c r="D834" s="5">
        <v>214.349032892987</v>
      </c>
      <c r="E834" s="5">
        <v>296.934769536361</v>
      </c>
      <c r="F834" s="5">
        <v>248.954062954329</v>
      </c>
      <c r="G834" s="5">
        <v>248.954062954329</v>
      </c>
      <c r="H834" s="5">
        <v>8.04888441837091</v>
      </c>
      <c r="I834" s="5">
        <v>8.04888441837091</v>
      </c>
      <c r="J834" s="5">
        <v>8.04888441837091</v>
      </c>
      <c r="K834" s="5">
        <v>1.16457933345162</v>
      </c>
      <c r="L834" s="5">
        <v>1.16457933345162</v>
      </c>
      <c r="M834" s="5">
        <v>1.16457933345162</v>
      </c>
      <c r="N834" s="5">
        <v>6.88430508491929</v>
      </c>
      <c r="O834" s="5">
        <v>6.88430508491929</v>
      </c>
      <c r="P834" s="5">
        <v>6.88430508491929</v>
      </c>
      <c r="Q834" s="5">
        <v>0.0</v>
      </c>
      <c r="R834" s="5">
        <v>0.0</v>
      </c>
      <c r="S834" s="5">
        <v>0.0</v>
      </c>
      <c r="T834" s="5">
        <v>257.0029473727</v>
      </c>
    </row>
    <row r="835">
      <c r="A835" s="5">
        <v>833.0</v>
      </c>
      <c r="B835" s="6">
        <v>44789.0</v>
      </c>
      <c r="C835" s="5">
        <v>248.554968219942</v>
      </c>
      <c r="D835" s="5">
        <v>216.884000998438</v>
      </c>
      <c r="E835" s="5">
        <v>294.390047557519</v>
      </c>
      <c r="F835" s="5">
        <v>248.554968219942</v>
      </c>
      <c r="G835" s="5">
        <v>248.554968219942</v>
      </c>
      <c r="H835" s="5">
        <v>7.28800176808786</v>
      </c>
      <c r="I835" s="5">
        <v>7.28800176808786</v>
      </c>
      <c r="J835" s="5">
        <v>7.28800176808786</v>
      </c>
      <c r="K835" s="5">
        <v>0.247324772139484</v>
      </c>
      <c r="L835" s="5">
        <v>0.247324772139484</v>
      </c>
      <c r="M835" s="5">
        <v>0.247324772139484</v>
      </c>
      <c r="N835" s="5">
        <v>7.04067699594837</v>
      </c>
      <c r="O835" s="5">
        <v>7.04067699594837</v>
      </c>
      <c r="P835" s="5">
        <v>7.04067699594837</v>
      </c>
      <c r="Q835" s="5">
        <v>0.0</v>
      </c>
      <c r="R835" s="5">
        <v>0.0</v>
      </c>
      <c r="S835" s="5">
        <v>0.0</v>
      </c>
      <c r="T835" s="5">
        <v>255.842969988029</v>
      </c>
    </row>
    <row r="836">
      <c r="A836" s="5">
        <v>834.0</v>
      </c>
      <c r="B836" s="6">
        <v>44790.0</v>
      </c>
      <c r="C836" s="5">
        <v>248.155873485554</v>
      </c>
      <c r="D836" s="5">
        <v>216.809777386931</v>
      </c>
      <c r="E836" s="5">
        <v>295.392663929412</v>
      </c>
      <c r="F836" s="5">
        <v>248.155873485554</v>
      </c>
      <c r="G836" s="5">
        <v>248.155873485554</v>
      </c>
      <c r="H836" s="5">
        <v>7.80345997761874</v>
      </c>
      <c r="I836" s="5">
        <v>7.80345997761874</v>
      </c>
      <c r="J836" s="5">
        <v>7.80345997761874</v>
      </c>
      <c r="K836" s="5">
        <v>0.608132553626949</v>
      </c>
      <c r="L836" s="5">
        <v>0.608132553626949</v>
      </c>
      <c r="M836" s="5">
        <v>0.608132553626949</v>
      </c>
      <c r="N836" s="5">
        <v>7.19532742399179</v>
      </c>
      <c r="O836" s="5">
        <v>7.19532742399179</v>
      </c>
      <c r="P836" s="5">
        <v>7.19532742399179</v>
      </c>
      <c r="Q836" s="5">
        <v>0.0</v>
      </c>
      <c r="R836" s="5">
        <v>0.0</v>
      </c>
      <c r="S836" s="5">
        <v>0.0</v>
      </c>
      <c r="T836" s="5">
        <v>255.959333463173</v>
      </c>
    </row>
    <row r="837">
      <c r="A837" s="5">
        <v>835.0</v>
      </c>
      <c r="B837" s="6">
        <v>44791.0</v>
      </c>
      <c r="C837" s="5">
        <v>247.756778751167</v>
      </c>
      <c r="D837" s="5">
        <v>216.097873316012</v>
      </c>
      <c r="E837" s="5">
        <v>294.324116215374</v>
      </c>
      <c r="F837" s="5">
        <v>247.756778751167</v>
      </c>
      <c r="G837" s="5">
        <v>247.756778751167</v>
      </c>
      <c r="H837" s="5">
        <v>7.12434106097595</v>
      </c>
      <c r="I837" s="5">
        <v>7.12434106097595</v>
      </c>
      <c r="J837" s="5">
        <v>7.12434106097595</v>
      </c>
      <c r="K837" s="5">
        <v>-0.225417905348732</v>
      </c>
      <c r="L837" s="5">
        <v>-0.225417905348732</v>
      </c>
      <c r="M837" s="5">
        <v>-0.225417905348732</v>
      </c>
      <c r="N837" s="5">
        <v>7.34975896632468</v>
      </c>
      <c r="O837" s="5">
        <v>7.34975896632468</v>
      </c>
      <c r="P837" s="5">
        <v>7.34975896632468</v>
      </c>
      <c r="Q837" s="5">
        <v>0.0</v>
      </c>
      <c r="R837" s="5">
        <v>0.0</v>
      </c>
      <c r="S837" s="5">
        <v>0.0</v>
      </c>
      <c r="T837" s="5">
        <v>254.881119812143</v>
      </c>
    </row>
    <row r="838">
      <c r="A838" s="5">
        <v>836.0</v>
      </c>
      <c r="B838" s="6">
        <v>44792.0</v>
      </c>
      <c r="C838" s="5">
        <v>247.357684016779</v>
      </c>
      <c r="D838" s="5">
        <v>216.634160302199</v>
      </c>
      <c r="E838" s="5">
        <v>293.527617732002</v>
      </c>
      <c r="F838" s="5">
        <v>247.357684016779</v>
      </c>
      <c r="G838" s="5">
        <v>247.357684016779</v>
      </c>
      <c r="H838" s="5">
        <v>6.7665666294499</v>
      </c>
      <c r="I838" s="5">
        <v>6.7665666294499</v>
      </c>
      <c r="J838" s="5">
        <v>6.7665666294499</v>
      </c>
      <c r="K838" s="5">
        <v>-0.73964008128231</v>
      </c>
      <c r="L838" s="5">
        <v>-0.73964008128231</v>
      </c>
      <c r="M838" s="5">
        <v>-0.73964008128231</v>
      </c>
      <c r="N838" s="5">
        <v>7.50620671073221</v>
      </c>
      <c r="O838" s="5">
        <v>7.50620671073221</v>
      </c>
      <c r="P838" s="5">
        <v>7.50620671073221</v>
      </c>
      <c r="Q838" s="5">
        <v>0.0</v>
      </c>
      <c r="R838" s="5">
        <v>0.0</v>
      </c>
      <c r="S838" s="5">
        <v>0.0</v>
      </c>
      <c r="T838" s="5">
        <v>254.124250646229</v>
      </c>
    </row>
    <row r="839">
      <c r="A839" s="5">
        <v>837.0</v>
      </c>
      <c r="B839" s="6">
        <v>44795.0</v>
      </c>
      <c r="C839" s="5">
        <v>246.160399813617</v>
      </c>
      <c r="D839" s="5">
        <v>215.138827947091</v>
      </c>
      <c r="E839" s="5">
        <v>295.125197624366</v>
      </c>
      <c r="F839" s="5">
        <v>246.160399813617</v>
      </c>
      <c r="G839" s="5">
        <v>246.160399813617</v>
      </c>
      <c r="H839" s="5">
        <v>9.18415912446552</v>
      </c>
      <c r="I839" s="5">
        <v>9.18415912446552</v>
      </c>
      <c r="J839" s="5">
        <v>9.18415912446552</v>
      </c>
      <c r="K839" s="5">
        <v>1.16457933345012</v>
      </c>
      <c r="L839" s="5">
        <v>1.16457933345012</v>
      </c>
      <c r="M839" s="5">
        <v>1.16457933345012</v>
      </c>
      <c r="N839" s="5">
        <v>8.01957979101539</v>
      </c>
      <c r="O839" s="5">
        <v>8.01957979101539</v>
      </c>
      <c r="P839" s="5">
        <v>8.01957979101539</v>
      </c>
      <c r="Q839" s="5">
        <v>0.0</v>
      </c>
      <c r="R839" s="5">
        <v>0.0</v>
      </c>
      <c r="S839" s="5">
        <v>0.0</v>
      </c>
      <c r="T839" s="5">
        <v>255.344558938083</v>
      </c>
    </row>
    <row r="840">
      <c r="A840" s="5">
        <v>838.0</v>
      </c>
      <c r="B840" s="6">
        <v>44796.0</v>
      </c>
      <c r="C840" s="5">
        <v>245.76130507923</v>
      </c>
      <c r="D840" s="5">
        <v>217.421034212206</v>
      </c>
      <c r="E840" s="5">
        <v>294.30740183346</v>
      </c>
      <c r="F840" s="5">
        <v>245.76130507923</v>
      </c>
      <c r="G840" s="5">
        <v>245.76130507923</v>
      </c>
      <c r="H840" s="5">
        <v>8.46575980777508</v>
      </c>
      <c r="I840" s="5">
        <v>8.46575980777508</v>
      </c>
      <c r="J840" s="5">
        <v>8.46575980777508</v>
      </c>
      <c r="K840" s="5">
        <v>0.247324772139446</v>
      </c>
      <c r="L840" s="5">
        <v>0.247324772139446</v>
      </c>
      <c r="M840" s="5">
        <v>0.247324772139446</v>
      </c>
      <c r="N840" s="5">
        <v>8.21843503563564</v>
      </c>
      <c r="O840" s="5">
        <v>8.21843503563564</v>
      </c>
      <c r="P840" s="5">
        <v>8.21843503563564</v>
      </c>
      <c r="Q840" s="5">
        <v>0.0</v>
      </c>
      <c r="R840" s="5">
        <v>0.0</v>
      </c>
      <c r="S840" s="5">
        <v>0.0</v>
      </c>
      <c r="T840" s="5">
        <v>254.227064887005</v>
      </c>
    </row>
    <row r="841">
      <c r="A841" s="5">
        <v>839.0</v>
      </c>
      <c r="B841" s="6">
        <v>44797.0</v>
      </c>
      <c r="C841" s="5">
        <v>245.362210344842</v>
      </c>
      <c r="D841" s="5">
        <v>214.112698864779</v>
      </c>
      <c r="E841" s="5">
        <v>296.603656629528</v>
      </c>
      <c r="F841" s="5">
        <v>245.362210344842</v>
      </c>
      <c r="G841" s="5">
        <v>245.362210344842</v>
      </c>
      <c r="H841" s="5">
        <v>9.04649068187281</v>
      </c>
      <c r="I841" s="5">
        <v>9.04649068187281</v>
      </c>
      <c r="J841" s="5">
        <v>9.04649068187281</v>
      </c>
      <c r="K841" s="5">
        <v>0.608132553626059</v>
      </c>
      <c r="L841" s="5">
        <v>0.608132553626059</v>
      </c>
      <c r="M841" s="5">
        <v>0.608132553626059</v>
      </c>
      <c r="N841" s="5">
        <v>8.43835812824675</v>
      </c>
      <c r="O841" s="5">
        <v>8.43835812824675</v>
      </c>
      <c r="P841" s="5">
        <v>8.43835812824675</v>
      </c>
      <c r="Q841" s="5">
        <v>0.0</v>
      </c>
      <c r="R841" s="5">
        <v>0.0</v>
      </c>
      <c r="S841" s="5">
        <v>0.0</v>
      </c>
      <c r="T841" s="5">
        <v>254.408701026715</v>
      </c>
    </row>
    <row r="842">
      <c r="A842" s="5">
        <v>840.0</v>
      </c>
      <c r="B842" s="6">
        <v>44798.0</v>
      </c>
      <c r="C842" s="5">
        <v>244.963115610455</v>
      </c>
      <c r="D842" s="5">
        <v>216.196253027437</v>
      </c>
      <c r="E842" s="5">
        <v>294.944104866895</v>
      </c>
      <c r="F842" s="5">
        <v>244.963115610455</v>
      </c>
      <c r="G842" s="5">
        <v>244.963115610455</v>
      </c>
      <c r="H842" s="5">
        <v>8.45827432644622</v>
      </c>
      <c r="I842" s="5">
        <v>8.45827432644622</v>
      </c>
      <c r="J842" s="5">
        <v>8.45827432644622</v>
      </c>
      <c r="K842" s="5">
        <v>-0.225417905351697</v>
      </c>
      <c r="L842" s="5">
        <v>-0.225417905351697</v>
      </c>
      <c r="M842" s="5">
        <v>-0.225417905351697</v>
      </c>
      <c r="N842" s="5">
        <v>8.68369223179792</v>
      </c>
      <c r="O842" s="5">
        <v>8.68369223179792</v>
      </c>
      <c r="P842" s="5">
        <v>8.68369223179792</v>
      </c>
      <c r="Q842" s="5">
        <v>0.0</v>
      </c>
      <c r="R842" s="5">
        <v>0.0</v>
      </c>
      <c r="S842" s="5">
        <v>0.0</v>
      </c>
      <c r="T842" s="5">
        <v>253.421389936901</v>
      </c>
    </row>
    <row r="843">
      <c r="A843" s="5">
        <v>841.0</v>
      </c>
      <c r="B843" s="6">
        <v>44799.0</v>
      </c>
      <c r="C843" s="5">
        <v>244.564020876067</v>
      </c>
      <c r="D843" s="5">
        <v>211.525786307111</v>
      </c>
      <c r="E843" s="5">
        <v>291.641619250402</v>
      </c>
      <c r="F843" s="5">
        <v>244.564020876067</v>
      </c>
      <c r="G843" s="5">
        <v>244.564020876067</v>
      </c>
      <c r="H843" s="5">
        <v>8.21886990250003</v>
      </c>
      <c r="I843" s="5">
        <v>8.21886990250003</v>
      </c>
      <c r="J843" s="5">
        <v>8.21886990250003</v>
      </c>
      <c r="K843" s="5">
        <v>-0.739640081280033</v>
      </c>
      <c r="L843" s="5">
        <v>-0.739640081280033</v>
      </c>
      <c r="M843" s="5">
        <v>-0.739640081280033</v>
      </c>
      <c r="N843" s="5">
        <v>8.95850998378006</v>
      </c>
      <c r="O843" s="5">
        <v>8.95850998378006</v>
      </c>
      <c r="P843" s="5">
        <v>8.95850998378006</v>
      </c>
      <c r="Q843" s="5">
        <v>0.0</v>
      </c>
      <c r="R843" s="5">
        <v>0.0</v>
      </c>
      <c r="S843" s="5">
        <v>0.0</v>
      </c>
      <c r="T843" s="5">
        <v>252.782890778567</v>
      </c>
    </row>
    <row r="844">
      <c r="A844" s="5">
        <v>842.0</v>
      </c>
      <c r="B844" s="6">
        <v>44802.0</v>
      </c>
      <c r="C844" s="5">
        <v>243.366736672905</v>
      </c>
      <c r="D844" s="5">
        <v>216.276579560532</v>
      </c>
      <c r="E844" s="5">
        <v>291.582273451046</v>
      </c>
      <c r="F844" s="5">
        <v>243.366736672905</v>
      </c>
      <c r="G844" s="5">
        <v>243.366736672905</v>
      </c>
      <c r="H844" s="5">
        <v>11.1566742021866</v>
      </c>
      <c r="I844" s="5">
        <v>11.1566742021866</v>
      </c>
      <c r="J844" s="5">
        <v>11.1566742021866</v>
      </c>
      <c r="K844" s="5">
        <v>1.16457933345057</v>
      </c>
      <c r="L844" s="5">
        <v>1.16457933345057</v>
      </c>
      <c r="M844" s="5">
        <v>1.16457933345057</v>
      </c>
      <c r="N844" s="5">
        <v>9.99209486873611</v>
      </c>
      <c r="O844" s="5">
        <v>9.99209486873611</v>
      </c>
      <c r="P844" s="5">
        <v>9.99209486873611</v>
      </c>
      <c r="Q844" s="5">
        <v>0.0</v>
      </c>
      <c r="R844" s="5">
        <v>0.0</v>
      </c>
      <c r="S844" s="5">
        <v>0.0</v>
      </c>
      <c r="T844" s="5">
        <v>254.523410875092</v>
      </c>
    </row>
    <row r="845">
      <c r="A845" s="5">
        <v>843.0</v>
      </c>
      <c r="B845" s="6">
        <v>44803.0</v>
      </c>
      <c r="C845" s="5">
        <v>242.967641938518</v>
      </c>
      <c r="D845" s="5">
        <v>212.941351420806</v>
      </c>
      <c r="E845" s="5">
        <v>294.27098022252</v>
      </c>
      <c r="F845" s="5">
        <v>242.967641938518</v>
      </c>
      <c r="G845" s="5">
        <v>242.967641938518</v>
      </c>
      <c r="H845" s="5">
        <v>10.6601578580978</v>
      </c>
      <c r="I845" s="5">
        <v>10.6601578580978</v>
      </c>
      <c r="J845" s="5">
        <v>10.6601578580978</v>
      </c>
      <c r="K845" s="5">
        <v>0.247324772139535</v>
      </c>
      <c r="L845" s="5">
        <v>0.247324772139535</v>
      </c>
      <c r="M845" s="5">
        <v>0.247324772139535</v>
      </c>
      <c r="N845" s="5">
        <v>10.4128330859582</v>
      </c>
      <c r="O845" s="5">
        <v>10.4128330859582</v>
      </c>
      <c r="P845" s="5">
        <v>10.4128330859582</v>
      </c>
      <c r="Q845" s="5">
        <v>0.0</v>
      </c>
      <c r="R845" s="5">
        <v>0.0</v>
      </c>
      <c r="S845" s="5">
        <v>0.0</v>
      </c>
      <c r="T845" s="5">
        <v>253.627799796615</v>
      </c>
    </row>
    <row r="846">
      <c r="A846" s="5">
        <v>844.0</v>
      </c>
      <c r="B846" s="6">
        <v>44804.0</v>
      </c>
      <c r="C846" s="5">
        <v>242.56854720413</v>
      </c>
      <c r="D846" s="5">
        <v>214.110581639592</v>
      </c>
      <c r="E846" s="5">
        <v>296.503150925923</v>
      </c>
      <c r="F846" s="5">
        <v>242.56854720413</v>
      </c>
      <c r="G846" s="5">
        <v>242.56854720413</v>
      </c>
      <c r="H846" s="5">
        <v>11.4803105330157</v>
      </c>
      <c r="I846" s="5">
        <v>11.4803105330157</v>
      </c>
      <c r="J846" s="5">
        <v>11.4803105330157</v>
      </c>
      <c r="K846" s="5">
        <v>0.608132553627838</v>
      </c>
      <c r="L846" s="5">
        <v>0.608132553627838</v>
      </c>
      <c r="M846" s="5">
        <v>0.608132553627838</v>
      </c>
      <c r="N846" s="5">
        <v>10.8721779793879</v>
      </c>
      <c r="O846" s="5">
        <v>10.8721779793879</v>
      </c>
      <c r="P846" s="5">
        <v>10.8721779793879</v>
      </c>
      <c r="Q846" s="5">
        <v>0.0</v>
      </c>
      <c r="R846" s="5">
        <v>0.0</v>
      </c>
      <c r="S846" s="5">
        <v>0.0</v>
      </c>
      <c r="T846" s="5">
        <v>254.048857737146</v>
      </c>
    </row>
    <row r="847">
      <c r="A847" s="5">
        <v>845.0</v>
      </c>
      <c r="B847" s="6">
        <v>44805.0</v>
      </c>
      <c r="C847" s="5">
        <v>242.169452469743</v>
      </c>
      <c r="D847" s="5">
        <v>216.279306956956</v>
      </c>
      <c r="E847" s="5">
        <v>292.300116390416</v>
      </c>
      <c r="F847" s="5">
        <v>242.169452469743</v>
      </c>
      <c r="G847" s="5">
        <v>242.169452469743</v>
      </c>
      <c r="H847" s="5">
        <v>11.1430620487229</v>
      </c>
      <c r="I847" s="5">
        <v>11.1430620487229</v>
      </c>
      <c r="J847" s="5">
        <v>11.1430620487229</v>
      </c>
      <c r="K847" s="5">
        <v>-0.22541790534789</v>
      </c>
      <c r="L847" s="5">
        <v>-0.22541790534789</v>
      </c>
      <c r="M847" s="5">
        <v>-0.22541790534789</v>
      </c>
      <c r="N847" s="5">
        <v>11.3684799540708</v>
      </c>
      <c r="O847" s="5">
        <v>11.3684799540708</v>
      </c>
      <c r="P847" s="5">
        <v>11.3684799540708</v>
      </c>
      <c r="Q847" s="5">
        <v>0.0</v>
      </c>
      <c r="R847" s="5">
        <v>0.0</v>
      </c>
      <c r="S847" s="5">
        <v>0.0</v>
      </c>
      <c r="T847" s="5">
        <v>253.312514518466</v>
      </c>
    </row>
    <row r="848">
      <c r="A848" s="5">
        <v>846.0</v>
      </c>
      <c r="B848" s="6">
        <v>44806.0</v>
      </c>
      <c r="C848" s="5">
        <v>241.770357735355</v>
      </c>
      <c r="D848" s="5">
        <v>216.062771642053</v>
      </c>
      <c r="E848" s="5">
        <v>293.189007698134</v>
      </c>
      <c r="F848" s="5">
        <v>241.770357735355</v>
      </c>
      <c r="G848" s="5">
        <v>241.770357735355</v>
      </c>
      <c r="H848" s="5">
        <v>11.1590121943733</v>
      </c>
      <c r="I848" s="5">
        <v>11.1590121943733</v>
      </c>
      <c r="J848" s="5">
        <v>11.1590121943733</v>
      </c>
      <c r="K848" s="5">
        <v>-0.739640081277756</v>
      </c>
      <c r="L848" s="5">
        <v>-0.739640081277756</v>
      </c>
      <c r="M848" s="5">
        <v>-0.739640081277756</v>
      </c>
      <c r="N848" s="5">
        <v>11.8986522756511</v>
      </c>
      <c r="O848" s="5">
        <v>11.8986522756511</v>
      </c>
      <c r="P848" s="5">
        <v>11.8986522756511</v>
      </c>
      <c r="Q848" s="5">
        <v>0.0</v>
      </c>
      <c r="R848" s="5">
        <v>0.0</v>
      </c>
      <c r="S848" s="5">
        <v>0.0</v>
      </c>
      <c r="T848" s="5">
        <v>252.929369929729</v>
      </c>
    </row>
    <row r="849">
      <c r="A849" s="5">
        <v>847.0</v>
      </c>
      <c r="B849" s="6">
        <v>44810.0</v>
      </c>
      <c r="C849" s="5">
        <v>240.173978751536</v>
      </c>
      <c r="D849" s="5">
        <v>214.35570870287</v>
      </c>
      <c r="E849" s="5">
        <v>295.993004476692</v>
      </c>
      <c r="F849" s="5">
        <v>240.173978751536</v>
      </c>
      <c r="G849" s="5">
        <v>240.173978751536</v>
      </c>
      <c r="H849" s="5">
        <v>14.4922519025767</v>
      </c>
      <c r="I849" s="5">
        <v>14.4922519025767</v>
      </c>
      <c r="J849" s="5">
        <v>14.4922519025767</v>
      </c>
      <c r="K849" s="5">
        <v>0.2473247721382</v>
      </c>
      <c r="L849" s="5">
        <v>0.2473247721382</v>
      </c>
      <c r="M849" s="5">
        <v>0.2473247721382</v>
      </c>
      <c r="N849" s="5">
        <v>14.2449271304385</v>
      </c>
      <c r="O849" s="5">
        <v>14.2449271304385</v>
      </c>
      <c r="P849" s="5">
        <v>14.2449271304385</v>
      </c>
      <c r="Q849" s="5">
        <v>0.0</v>
      </c>
      <c r="R849" s="5">
        <v>0.0</v>
      </c>
      <c r="S849" s="5">
        <v>0.0</v>
      </c>
      <c r="T849" s="5">
        <v>254.666230654113</v>
      </c>
    </row>
    <row r="850">
      <c r="A850" s="5">
        <v>848.0</v>
      </c>
      <c r="B850" s="6">
        <v>44811.0</v>
      </c>
      <c r="C850" s="5">
        <v>239.774884005581</v>
      </c>
      <c r="D850" s="5">
        <v>215.522536266854</v>
      </c>
      <c r="E850" s="5">
        <v>296.812841035062</v>
      </c>
      <c r="F850" s="5">
        <v>239.774884005581</v>
      </c>
      <c r="G850" s="5">
        <v>239.774884005581</v>
      </c>
      <c r="H850" s="5">
        <v>15.4556228427178</v>
      </c>
      <c r="I850" s="5">
        <v>15.4556228427178</v>
      </c>
      <c r="J850" s="5">
        <v>15.4556228427178</v>
      </c>
      <c r="K850" s="5">
        <v>0.60813255362428</v>
      </c>
      <c r="L850" s="5">
        <v>0.60813255362428</v>
      </c>
      <c r="M850" s="5">
        <v>0.60813255362428</v>
      </c>
      <c r="N850" s="5">
        <v>14.8474902890935</v>
      </c>
      <c r="O850" s="5">
        <v>14.8474902890935</v>
      </c>
      <c r="P850" s="5">
        <v>14.8474902890935</v>
      </c>
      <c r="Q850" s="5">
        <v>0.0</v>
      </c>
      <c r="R850" s="5">
        <v>0.0</v>
      </c>
      <c r="S850" s="5">
        <v>0.0</v>
      </c>
      <c r="T850" s="5">
        <v>255.230506848299</v>
      </c>
    </row>
    <row r="851">
      <c r="A851" s="5">
        <v>849.0</v>
      </c>
      <c r="B851" s="6">
        <v>44812.0</v>
      </c>
      <c r="C851" s="5">
        <v>239.375789259627</v>
      </c>
      <c r="D851" s="5">
        <v>216.392741635154</v>
      </c>
      <c r="E851" s="5">
        <v>295.40706372035</v>
      </c>
      <c r="F851" s="5">
        <v>239.375789259627</v>
      </c>
      <c r="G851" s="5">
        <v>239.375789259627</v>
      </c>
      <c r="H851" s="5">
        <v>15.2107145541965</v>
      </c>
      <c r="I851" s="5">
        <v>15.2107145541965</v>
      </c>
      <c r="J851" s="5">
        <v>15.2107145541965</v>
      </c>
      <c r="K851" s="5">
        <v>-0.225417905345543</v>
      </c>
      <c r="L851" s="5">
        <v>-0.225417905345543</v>
      </c>
      <c r="M851" s="5">
        <v>-0.225417905345543</v>
      </c>
      <c r="N851" s="5">
        <v>15.436132459542</v>
      </c>
      <c r="O851" s="5">
        <v>15.436132459542</v>
      </c>
      <c r="P851" s="5">
        <v>15.436132459542</v>
      </c>
      <c r="Q851" s="5">
        <v>0.0</v>
      </c>
      <c r="R851" s="5">
        <v>0.0</v>
      </c>
      <c r="S851" s="5">
        <v>0.0</v>
      </c>
      <c r="T851" s="5">
        <v>254.586503813823</v>
      </c>
    </row>
    <row r="852">
      <c r="A852" s="5">
        <v>850.0</v>
      </c>
      <c r="B852" s="6">
        <v>44813.0</v>
      </c>
      <c r="C852" s="5">
        <v>238.976694513672</v>
      </c>
      <c r="D852" s="5">
        <v>215.675093226108</v>
      </c>
      <c r="E852" s="5">
        <v>296.405201816943</v>
      </c>
      <c r="F852" s="5">
        <v>238.976694513672</v>
      </c>
      <c r="G852" s="5">
        <v>238.976694513672</v>
      </c>
      <c r="H852" s="5">
        <v>15.2595108465235</v>
      </c>
      <c r="I852" s="5">
        <v>15.2595108465235</v>
      </c>
      <c r="J852" s="5">
        <v>15.2595108465235</v>
      </c>
      <c r="K852" s="5">
        <v>-0.739640081282344</v>
      </c>
      <c r="L852" s="5">
        <v>-0.739640081282344</v>
      </c>
      <c r="M852" s="5">
        <v>-0.739640081282344</v>
      </c>
      <c r="N852" s="5">
        <v>15.9991509278059</v>
      </c>
      <c r="O852" s="5">
        <v>15.9991509278059</v>
      </c>
      <c r="P852" s="5">
        <v>15.9991509278059</v>
      </c>
      <c r="Q852" s="5">
        <v>0.0</v>
      </c>
      <c r="R852" s="5">
        <v>0.0</v>
      </c>
      <c r="S852" s="5">
        <v>0.0</v>
      </c>
      <c r="T852" s="5">
        <v>254.236205360196</v>
      </c>
    </row>
    <row r="853">
      <c r="A853" s="5">
        <v>851.0</v>
      </c>
      <c r="B853" s="6">
        <v>44816.0</v>
      </c>
      <c r="C853" s="5">
        <v>237.779410275808</v>
      </c>
      <c r="D853" s="5">
        <v>216.993883708615</v>
      </c>
      <c r="E853" s="5">
        <v>295.289680751775</v>
      </c>
      <c r="F853" s="5">
        <v>237.779410275808</v>
      </c>
      <c r="G853" s="5">
        <v>237.779410275808</v>
      </c>
      <c r="H853" s="5">
        <v>18.5766210268166</v>
      </c>
      <c r="I853" s="5">
        <v>18.5766210268166</v>
      </c>
      <c r="J853" s="5">
        <v>18.5766210268166</v>
      </c>
      <c r="K853" s="5">
        <v>1.16457933345113</v>
      </c>
      <c r="L853" s="5">
        <v>1.16457933345113</v>
      </c>
      <c r="M853" s="5">
        <v>1.16457933345113</v>
      </c>
      <c r="N853" s="5">
        <v>17.4120416933655</v>
      </c>
      <c r="O853" s="5">
        <v>17.4120416933655</v>
      </c>
      <c r="P853" s="5">
        <v>17.4120416933655</v>
      </c>
      <c r="Q853" s="5">
        <v>0.0</v>
      </c>
      <c r="R853" s="5">
        <v>0.0</v>
      </c>
      <c r="S853" s="5">
        <v>0.0</v>
      </c>
      <c r="T853" s="5">
        <v>256.356031302624</v>
      </c>
    </row>
    <row r="854">
      <c r="A854" s="5">
        <v>852.0</v>
      </c>
      <c r="B854" s="6">
        <v>44817.0</v>
      </c>
      <c r="C854" s="5">
        <v>237.380315529853</v>
      </c>
      <c r="D854" s="5">
        <v>213.845244094153</v>
      </c>
      <c r="E854" s="5">
        <v>296.274775166929</v>
      </c>
      <c r="F854" s="5">
        <v>237.380315529853</v>
      </c>
      <c r="G854" s="5">
        <v>237.380315529853</v>
      </c>
      <c r="H854" s="5">
        <v>17.9978454507646</v>
      </c>
      <c r="I854" s="5">
        <v>17.9978454507646</v>
      </c>
      <c r="J854" s="5">
        <v>17.9978454507646</v>
      </c>
      <c r="K854" s="5">
        <v>0.247324772136866</v>
      </c>
      <c r="L854" s="5">
        <v>0.247324772136866</v>
      </c>
      <c r="M854" s="5">
        <v>0.247324772136866</v>
      </c>
      <c r="N854" s="5">
        <v>17.7505206786278</v>
      </c>
      <c r="O854" s="5">
        <v>17.7505206786278</v>
      </c>
      <c r="P854" s="5">
        <v>17.7505206786278</v>
      </c>
      <c r="Q854" s="5">
        <v>0.0</v>
      </c>
      <c r="R854" s="5">
        <v>0.0</v>
      </c>
      <c r="S854" s="5">
        <v>0.0</v>
      </c>
      <c r="T854" s="5">
        <v>255.378160980618</v>
      </c>
    </row>
    <row r="855">
      <c r="A855" s="5">
        <v>853.0</v>
      </c>
      <c r="B855" s="6">
        <v>44818.0</v>
      </c>
      <c r="C855" s="5">
        <v>236.981220783898</v>
      </c>
      <c r="D855" s="5">
        <v>214.645276657685</v>
      </c>
      <c r="E855" s="5">
        <v>294.826304425051</v>
      </c>
      <c r="F855" s="5">
        <v>236.981220783898</v>
      </c>
      <c r="G855" s="5">
        <v>236.981220783898</v>
      </c>
      <c r="H855" s="5">
        <v>18.6120137398073</v>
      </c>
      <c r="I855" s="5">
        <v>18.6120137398073</v>
      </c>
      <c r="J855" s="5">
        <v>18.6120137398073</v>
      </c>
      <c r="K855" s="5">
        <v>0.608132553627613</v>
      </c>
      <c r="L855" s="5">
        <v>0.608132553627613</v>
      </c>
      <c r="M855" s="5">
        <v>0.608132553627613</v>
      </c>
      <c r="N855" s="5">
        <v>18.0038811861797</v>
      </c>
      <c r="O855" s="5">
        <v>18.0038811861797</v>
      </c>
      <c r="P855" s="5">
        <v>18.0038811861797</v>
      </c>
      <c r="Q855" s="5">
        <v>0.0</v>
      </c>
      <c r="R855" s="5">
        <v>0.0</v>
      </c>
      <c r="S855" s="5">
        <v>0.0</v>
      </c>
      <c r="T855" s="5">
        <v>255.593234523706</v>
      </c>
    </row>
    <row r="856">
      <c r="A856" s="5">
        <v>854.0</v>
      </c>
      <c r="B856" s="6">
        <v>44819.0</v>
      </c>
      <c r="C856" s="5">
        <v>236.582126037943</v>
      </c>
      <c r="D856" s="5">
        <v>217.211549757968</v>
      </c>
      <c r="E856" s="5">
        <v>294.826274338207</v>
      </c>
      <c r="F856" s="5">
        <v>236.582126037943</v>
      </c>
      <c r="G856" s="5">
        <v>236.582126037943</v>
      </c>
      <c r="H856" s="5">
        <v>17.9368762137429</v>
      </c>
      <c r="I856" s="5">
        <v>17.9368762137429</v>
      </c>
      <c r="J856" s="5">
        <v>17.9368762137429</v>
      </c>
      <c r="K856" s="5">
        <v>-0.225417905345122</v>
      </c>
      <c r="L856" s="5">
        <v>-0.225417905345122</v>
      </c>
      <c r="M856" s="5">
        <v>-0.225417905345122</v>
      </c>
      <c r="N856" s="5">
        <v>18.162294119088</v>
      </c>
      <c r="O856" s="5">
        <v>18.162294119088</v>
      </c>
      <c r="P856" s="5">
        <v>18.162294119088</v>
      </c>
      <c r="Q856" s="5">
        <v>0.0</v>
      </c>
      <c r="R856" s="5">
        <v>0.0</v>
      </c>
      <c r="S856" s="5">
        <v>0.0</v>
      </c>
      <c r="T856" s="5">
        <v>254.519002251686</v>
      </c>
    </row>
    <row r="857">
      <c r="A857" s="5">
        <v>855.0</v>
      </c>
      <c r="B857" s="6">
        <v>44820.0</v>
      </c>
      <c r="C857" s="5">
        <v>236.183031291989</v>
      </c>
      <c r="D857" s="5">
        <v>212.612802921173</v>
      </c>
      <c r="E857" s="5">
        <v>291.933010946357</v>
      </c>
      <c r="F857" s="5">
        <v>236.183031291989</v>
      </c>
      <c r="G857" s="5">
        <v>236.183031291989</v>
      </c>
      <c r="H857" s="5">
        <v>17.477729336778</v>
      </c>
      <c r="I857" s="5">
        <v>17.477729336778</v>
      </c>
      <c r="J857" s="5">
        <v>17.477729336778</v>
      </c>
      <c r="K857" s="5">
        <v>-0.739640081280068</v>
      </c>
      <c r="L857" s="5">
        <v>-0.739640081280068</v>
      </c>
      <c r="M857" s="5">
        <v>-0.739640081280068</v>
      </c>
      <c r="N857" s="5">
        <v>18.2173694180581</v>
      </c>
      <c r="O857" s="5">
        <v>18.2173694180581</v>
      </c>
      <c r="P857" s="5">
        <v>18.2173694180581</v>
      </c>
      <c r="Q857" s="5">
        <v>0.0</v>
      </c>
      <c r="R857" s="5">
        <v>0.0</v>
      </c>
      <c r="S857" s="5">
        <v>0.0</v>
      </c>
      <c r="T857" s="5">
        <v>253.660760628767</v>
      </c>
    </row>
    <row r="858">
      <c r="A858" s="5">
        <v>856.0</v>
      </c>
      <c r="B858" s="6">
        <v>44823.0</v>
      </c>
      <c r="C858" s="5">
        <v>234.985747054124</v>
      </c>
      <c r="D858" s="5">
        <v>213.744944162635</v>
      </c>
      <c r="E858" s="5">
        <v>293.51477792899</v>
      </c>
      <c r="F858" s="5">
        <v>234.985747054124</v>
      </c>
      <c r="G858" s="5">
        <v>234.985747054124</v>
      </c>
      <c r="H858" s="5">
        <v>18.8705343102094</v>
      </c>
      <c r="I858" s="5">
        <v>18.8705343102094</v>
      </c>
      <c r="J858" s="5">
        <v>18.8705343102094</v>
      </c>
      <c r="K858" s="5">
        <v>1.16457933344975</v>
      </c>
      <c r="L858" s="5">
        <v>1.16457933344975</v>
      </c>
      <c r="M858" s="5">
        <v>1.16457933344975</v>
      </c>
      <c r="N858" s="5">
        <v>17.7059549767597</v>
      </c>
      <c r="O858" s="5">
        <v>17.7059549767597</v>
      </c>
      <c r="P858" s="5">
        <v>17.7059549767597</v>
      </c>
      <c r="Q858" s="5">
        <v>0.0</v>
      </c>
      <c r="R858" s="5">
        <v>0.0</v>
      </c>
      <c r="S858" s="5">
        <v>0.0</v>
      </c>
      <c r="T858" s="5">
        <v>253.856281364334</v>
      </c>
    </row>
    <row r="859">
      <c r="A859" s="5">
        <v>857.0</v>
      </c>
      <c r="B859" s="6">
        <v>44824.0</v>
      </c>
      <c r="C859" s="5">
        <v>234.58665230817</v>
      </c>
      <c r="D859" s="5">
        <v>212.033870543507</v>
      </c>
      <c r="E859" s="5">
        <v>291.750331621864</v>
      </c>
      <c r="F859" s="5">
        <v>234.58665230817</v>
      </c>
      <c r="G859" s="5">
        <v>234.58665230817</v>
      </c>
      <c r="H859" s="5">
        <v>17.5490117177223</v>
      </c>
      <c r="I859" s="5">
        <v>17.5490117177223</v>
      </c>
      <c r="J859" s="5">
        <v>17.5490117177223</v>
      </c>
      <c r="K859" s="5">
        <v>0.247324772138377</v>
      </c>
      <c r="L859" s="5">
        <v>0.247324772138377</v>
      </c>
      <c r="M859" s="5">
        <v>0.247324772138377</v>
      </c>
      <c r="N859" s="5">
        <v>17.3016869455839</v>
      </c>
      <c r="O859" s="5">
        <v>17.3016869455839</v>
      </c>
      <c r="P859" s="5">
        <v>17.3016869455839</v>
      </c>
      <c r="Q859" s="5">
        <v>0.0</v>
      </c>
      <c r="R859" s="5">
        <v>0.0</v>
      </c>
      <c r="S859" s="5">
        <v>0.0</v>
      </c>
      <c r="T859" s="5">
        <v>252.135664025892</v>
      </c>
    </row>
    <row r="860">
      <c r="A860" s="5">
        <v>858.0</v>
      </c>
      <c r="B860" s="6">
        <v>44825.0</v>
      </c>
      <c r="C860" s="5">
        <v>234.187557562215</v>
      </c>
      <c r="D860" s="5">
        <v>211.517862802533</v>
      </c>
      <c r="E860" s="5">
        <v>292.515959389962</v>
      </c>
      <c r="F860" s="5">
        <v>234.187557562215</v>
      </c>
      <c r="G860" s="5">
        <v>234.187557562215</v>
      </c>
      <c r="H860" s="5">
        <v>17.3903711490949</v>
      </c>
      <c r="I860" s="5">
        <v>17.3903711490949</v>
      </c>
      <c r="J860" s="5">
        <v>17.3903711490949</v>
      </c>
      <c r="K860" s="5">
        <v>0.608132553626723</v>
      </c>
      <c r="L860" s="5">
        <v>0.608132553626723</v>
      </c>
      <c r="M860" s="5">
        <v>0.608132553626723</v>
      </c>
      <c r="N860" s="5">
        <v>16.7822385954682</v>
      </c>
      <c r="O860" s="5">
        <v>16.7822385954682</v>
      </c>
      <c r="P860" s="5">
        <v>16.7822385954682</v>
      </c>
      <c r="Q860" s="5">
        <v>0.0</v>
      </c>
      <c r="R860" s="5">
        <v>0.0</v>
      </c>
      <c r="S860" s="5">
        <v>0.0</v>
      </c>
      <c r="T860" s="5">
        <v>251.57792871131</v>
      </c>
    </row>
    <row r="861">
      <c r="A861" s="5">
        <v>859.0</v>
      </c>
      <c r="B861" s="6">
        <v>44826.0</v>
      </c>
      <c r="C861" s="5">
        <v>233.78846281626</v>
      </c>
      <c r="D861" s="5">
        <v>210.248214825339</v>
      </c>
      <c r="E861" s="5">
        <v>290.380755006519</v>
      </c>
      <c r="F861" s="5">
        <v>233.78846281626</v>
      </c>
      <c r="G861" s="5">
        <v>233.78846281626</v>
      </c>
      <c r="H861" s="5">
        <v>15.9268881119742</v>
      </c>
      <c r="I861" s="5">
        <v>15.9268881119742</v>
      </c>
      <c r="J861" s="5">
        <v>15.9268881119742</v>
      </c>
      <c r="K861" s="5">
        <v>-0.225417905348087</v>
      </c>
      <c r="L861" s="5">
        <v>-0.225417905348087</v>
      </c>
      <c r="M861" s="5">
        <v>-0.225417905348087</v>
      </c>
      <c r="N861" s="5">
        <v>16.1523060173223</v>
      </c>
      <c r="O861" s="5">
        <v>16.1523060173223</v>
      </c>
      <c r="P861" s="5">
        <v>16.1523060173223</v>
      </c>
      <c r="Q861" s="5">
        <v>0.0</v>
      </c>
      <c r="R861" s="5">
        <v>0.0</v>
      </c>
      <c r="S861" s="5">
        <v>0.0</v>
      </c>
      <c r="T861" s="5">
        <v>249.715350928235</v>
      </c>
    </row>
    <row r="862">
      <c r="A862" s="5">
        <v>860.0</v>
      </c>
      <c r="B862" s="6">
        <v>44827.0</v>
      </c>
      <c r="C862" s="5">
        <v>233.389368070305</v>
      </c>
      <c r="D862" s="5">
        <v>205.824350848901</v>
      </c>
      <c r="E862" s="5">
        <v>289.469753087638</v>
      </c>
      <c r="F862" s="5">
        <v>233.389368070305</v>
      </c>
      <c r="G862" s="5">
        <v>233.389368070305</v>
      </c>
      <c r="H862" s="5">
        <v>14.6793794718558</v>
      </c>
      <c r="I862" s="5">
        <v>14.6793794718558</v>
      </c>
      <c r="J862" s="5">
        <v>14.6793794718558</v>
      </c>
      <c r="K862" s="5">
        <v>-0.739640081281223</v>
      </c>
      <c r="L862" s="5">
        <v>-0.739640081281223</v>
      </c>
      <c r="M862" s="5">
        <v>-0.739640081281223</v>
      </c>
      <c r="N862" s="5">
        <v>15.419019553137</v>
      </c>
      <c r="O862" s="5">
        <v>15.419019553137</v>
      </c>
      <c r="P862" s="5">
        <v>15.419019553137</v>
      </c>
      <c r="Q862" s="5">
        <v>0.0</v>
      </c>
      <c r="R862" s="5">
        <v>0.0</v>
      </c>
      <c r="S862" s="5">
        <v>0.0</v>
      </c>
      <c r="T862" s="5">
        <v>248.068747542161</v>
      </c>
    </row>
    <row r="863">
      <c r="A863" s="5">
        <v>861.0</v>
      </c>
      <c r="B863" s="6">
        <v>44830.0</v>
      </c>
      <c r="C863" s="5">
        <v>232.192083832441</v>
      </c>
      <c r="D863" s="5">
        <v>206.752345049825</v>
      </c>
      <c r="E863" s="5">
        <v>284.498252114058</v>
      </c>
      <c r="F863" s="5">
        <v>232.192083832441</v>
      </c>
      <c r="G863" s="5">
        <v>232.192083832441</v>
      </c>
      <c r="H863" s="5">
        <v>13.8690531741924</v>
      </c>
      <c r="I863" s="5">
        <v>13.8690531741924</v>
      </c>
      <c r="J863" s="5">
        <v>13.8690531741924</v>
      </c>
      <c r="K863" s="5">
        <v>1.16457933345009</v>
      </c>
      <c r="L863" s="5">
        <v>1.16457933345009</v>
      </c>
      <c r="M863" s="5">
        <v>1.16457933345009</v>
      </c>
      <c r="N863" s="5">
        <v>12.7044738407423</v>
      </c>
      <c r="O863" s="5">
        <v>12.7044738407423</v>
      </c>
      <c r="P863" s="5">
        <v>12.7044738407423</v>
      </c>
      <c r="Q863" s="5">
        <v>0.0</v>
      </c>
      <c r="R863" s="5">
        <v>0.0</v>
      </c>
      <c r="S863" s="5">
        <v>0.0</v>
      </c>
      <c r="T863" s="5">
        <v>246.061137006634</v>
      </c>
    </row>
    <row r="864">
      <c r="A864" s="5">
        <v>862.0</v>
      </c>
      <c r="B864" s="6">
        <v>44831.0</v>
      </c>
      <c r="C864" s="5">
        <v>231.792989086486</v>
      </c>
      <c r="D864" s="5">
        <v>206.742004749714</v>
      </c>
      <c r="E864" s="5">
        <v>283.830795360746</v>
      </c>
      <c r="F864" s="5">
        <v>231.792989086486</v>
      </c>
      <c r="G864" s="5">
        <v>231.792989086486</v>
      </c>
      <c r="H864" s="5">
        <v>11.9205415865212</v>
      </c>
      <c r="I864" s="5">
        <v>11.9205415865212</v>
      </c>
      <c r="J864" s="5">
        <v>11.9205415865212</v>
      </c>
      <c r="K864" s="5">
        <v>0.247324772137043</v>
      </c>
      <c r="L864" s="5">
        <v>0.247324772137043</v>
      </c>
      <c r="M864" s="5">
        <v>0.247324772137043</v>
      </c>
      <c r="N864" s="5">
        <v>11.6732168143841</v>
      </c>
      <c r="O864" s="5">
        <v>11.6732168143841</v>
      </c>
      <c r="P864" s="5">
        <v>11.6732168143841</v>
      </c>
      <c r="Q864" s="5">
        <v>0.0</v>
      </c>
      <c r="R864" s="5">
        <v>0.0</v>
      </c>
      <c r="S864" s="5">
        <v>0.0</v>
      </c>
      <c r="T864" s="5">
        <v>243.713530673008</v>
      </c>
    </row>
    <row r="865">
      <c r="A865" s="5">
        <v>863.0</v>
      </c>
      <c r="B865" s="6">
        <v>44832.0</v>
      </c>
      <c r="C865" s="5">
        <v>231.393894340532</v>
      </c>
      <c r="D865" s="5">
        <v>203.715417864923</v>
      </c>
      <c r="E865" s="5">
        <v>282.598717647403</v>
      </c>
      <c r="F865" s="5">
        <v>231.393894340532</v>
      </c>
      <c r="G865" s="5">
        <v>231.393894340532</v>
      </c>
      <c r="H865" s="5">
        <v>11.2135206969415</v>
      </c>
      <c r="I865" s="5">
        <v>11.2135206969415</v>
      </c>
      <c r="J865" s="5">
        <v>11.2135206969415</v>
      </c>
      <c r="K865" s="5">
        <v>0.608132553628502</v>
      </c>
      <c r="L865" s="5">
        <v>0.608132553628502</v>
      </c>
      <c r="M865" s="5">
        <v>0.608132553628502</v>
      </c>
      <c r="N865" s="5">
        <v>10.605388143313</v>
      </c>
      <c r="O865" s="5">
        <v>10.605388143313</v>
      </c>
      <c r="P865" s="5">
        <v>10.605388143313</v>
      </c>
      <c r="Q865" s="5">
        <v>0.0</v>
      </c>
      <c r="R865" s="5">
        <v>0.0</v>
      </c>
      <c r="S865" s="5">
        <v>0.0</v>
      </c>
      <c r="T865" s="5">
        <v>242.607415037473</v>
      </c>
    </row>
    <row r="866">
      <c r="A866" s="5">
        <v>864.0</v>
      </c>
      <c r="B866" s="6">
        <v>44833.0</v>
      </c>
      <c r="C866" s="5">
        <v>230.994799594577</v>
      </c>
      <c r="D866" s="5">
        <v>200.435413083537</v>
      </c>
      <c r="E866" s="5">
        <v>280.445730140571</v>
      </c>
      <c r="F866" s="5">
        <v>230.994799594577</v>
      </c>
      <c r="G866" s="5">
        <v>230.994799594577</v>
      </c>
      <c r="H866" s="5">
        <v>9.29327859452209</v>
      </c>
      <c r="I866" s="5">
        <v>9.29327859452209</v>
      </c>
      <c r="J866" s="5">
        <v>9.29327859452209</v>
      </c>
      <c r="K866" s="5">
        <v>-0.225417905347666</v>
      </c>
      <c r="L866" s="5">
        <v>-0.225417905347666</v>
      </c>
      <c r="M866" s="5">
        <v>-0.225417905347666</v>
      </c>
      <c r="N866" s="5">
        <v>9.51869649986975</v>
      </c>
      <c r="O866" s="5">
        <v>9.51869649986975</v>
      </c>
      <c r="P866" s="5">
        <v>9.51869649986975</v>
      </c>
      <c r="Q866" s="5">
        <v>0.0</v>
      </c>
      <c r="R866" s="5">
        <v>0.0</v>
      </c>
      <c r="S866" s="5">
        <v>0.0</v>
      </c>
      <c r="T866" s="5">
        <v>240.288078189099</v>
      </c>
    </row>
    <row r="867">
      <c r="A867" s="5">
        <v>865.0</v>
      </c>
      <c r="B867" s="6">
        <v>44834.0</v>
      </c>
      <c r="C867" s="5">
        <v>230.595704848622</v>
      </c>
      <c r="D867" s="5">
        <v>199.307115842269</v>
      </c>
      <c r="E867" s="5">
        <v>278.236108603164</v>
      </c>
      <c r="F867" s="5">
        <v>230.595704848622</v>
      </c>
      <c r="G867" s="5">
        <v>230.595704848622</v>
      </c>
      <c r="H867" s="5">
        <v>7.69182297968427</v>
      </c>
      <c r="I867" s="5">
        <v>7.69182297968427</v>
      </c>
      <c r="J867" s="5">
        <v>7.69182297968427</v>
      </c>
      <c r="K867" s="5">
        <v>-0.739640081280317</v>
      </c>
      <c r="L867" s="5">
        <v>-0.739640081280317</v>
      </c>
      <c r="M867" s="5">
        <v>-0.739640081280317</v>
      </c>
      <c r="N867" s="5">
        <v>8.43146306096459</v>
      </c>
      <c r="O867" s="5">
        <v>8.43146306096459</v>
      </c>
      <c r="P867" s="5">
        <v>8.43146306096459</v>
      </c>
      <c r="Q867" s="5">
        <v>0.0</v>
      </c>
      <c r="R867" s="5">
        <v>0.0</v>
      </c>
      <c r="S867" s="5">
        <v>0.0</v>
      </c>
      <c r="T867" s="5">
        <v>238.287527828306</v>
      </c>
    </row>
    <row r="868">
      <c r="A868" s="5">
        <v>866.0</v>
      </c>
      <c r="B868" s="6">
        <v>44837.0</v>
      </c>
      <c r="C868" s="5">
        <v>229.398420610758</v>
      </c>
      <c r="D868" s="5">
        <v>194.868089628766</v>
      </c>
      <c r="E868" s="5">
        <v>278.108457240408</v>
      </c>
      <c r="F868" s="5">
        <v>229.398420610758</v>
      </c>
      <c r="G868" s="5">
        <v>229.398420610758</v>
      </c>
      <c r="H868" s="5">
        <v>6.51460797006895</v>
      </c>
      <c r="I868" s="5">
        <v>6.51460797006895</v>
      </c>
      <c r="J868" s="5">
        <v>6.51460797006895</v>
      </c>
      <c r="K868" s="5">
        <v>1.16457933345032</v>
      </c>
      <c r="L868" s="5">
        <v>1.16457933345032</v>
      </c>
      <c r="M868" s="5">
        <v>1.16457933345032</v>
      </c>
      <c r="N868" s="5">
        <v>5.35002863661863</v>
      </c>
      <c r="O868" s="5">
        <v>5.35002863661863</v>
      </c>
      <c r="P868" s="5">
        <v>5.35002863661863</v>
      </c>
      <c r="Q868" s="5">
        <v>0.0</v>
      </c>
      <c r="R868" s="5">
        <v>0.0</v>
      </c>
      <c r="S868" s="5">
        <v>0.0</v>
      </c>
      <c r="T868" s="5">
        <v>235.913028580827</v>
      </c>
    </row>
    <row r="869">
      <c r="A869" s="5">
        <v>867.0</v>
      </c>
      <c r="B869" s="6">
        <v>44838.0</v>
      </c>
      <c r="C869" s="5">
        <v>228.999325864803</v>
      </c>
      <c r="D869" s="5">
        <v>194.608747531354</v>
      </c>
      <c r="E869" s="5">
        <v>271.336387445025</v>
      </c>
      <c r="F869" s="5">
        <v>228.999325864803</v>
      </c>
      <c r="G869" s="5">
        <v>228.999325864803</v>
      </c>
      <c r="H869" s="5">
        <v>4.68856560251712</v>
      </c>
      <c r="I869" s="5">
        <v>4.68856560251712</v>
      </c>
      <c r="J869" s="5">
        <v>4.68856560251712</v>
      </c>
      <c r="K869" s="5">
        <v>0.247324772137131</v>
      </c>
      <c r="L869" s="5">
        <v>0.247324772137131</v>
      </c>
      <c r="M869" s="5">
        <v>0.247324772137131</v>
      </c>
      <c r="N869" s="5">
        <v>4.44124083037999</v>
      </c>
      <c r="O869" s="5">
        <v>4.44124083037999</v>
      </c>
      <c r="P869" s="5">
        <v>4.44124083037999</v>
      </c>
      <c r="Q869" s="5">
        <v>0.0</v>
      </c>
      <c r="R869" s="5">
        <v>0.0</v>
      </c>
      <c r="S869" s="5">
        <v>0.0</v>
      </c>
      <c r="T869" s="5">
        <v>233.68789146732</v>
      </c>
    </row>
    <row r="870">
      <c r="A870" s="5">
        <v>868.0</v>
      </c>
      <c r="B870" s="6">
        <v>44839.0</v>
      </c>
      <c r="C870" s="5">
        <v>228.600231118848</v>
      </c>
      <c r="D870" s="5">
        <v>190.805080003446</v>
      </c>
      <c r="E870" s="5">
        <v>271.387528602929</v>
      </c>
      <c r="F870" s="5">
        <v>228.600231118848</v>
      </c>
      <c r="G870" s="5">
        <v>228.600231118848</v>
      </c>
      <c r="H870" s="5">
        <v>4.22599113903009</v>
      </c>
      <c r="I870" s="5">
        <v>4.22599113903009</v>
      </c>
      <c r="J870" s="5">
        <v>4.22599113903009</v>
      </c>
      <c r="K870" s="5">
        <v>0.608132553626498</v>
      </c>
      <c r="L870" s="5">
        <v>0.608132553626498</v>
      </c>
      <c r="M870" s="5">
        <v>0.608132553626498</v>
      </c>
      <c r="N870" s="5">
        <v>3.61785858540359</v>
      </c>
      <c r="O870" s="5">
        <v>3.61785858540359</v>
      </c>
      <c r="P870" s="5">
        <v>3.61785858540359</v>
      </c>
      <c r="Q870" s="5">
        <v>0.0</v>
      </c>
      <c r="R870" s="5">
        <v>0.0</v>
      </c>
      <c r="S870" s="5">
        <v>0.0</v>
      </c>
      <c r="T870" s="5">
        <v>232.826222257878</v>
      </c>
    </row>
    <row r="871">
      <c r="A871" s="5">
        <v>869.0</v>
      </c>
      <c r="B871" s="6">
        <v>44840.0</v>
      </c>
      <c r="C871" s="5">
        <v>228.201136372894</v>
      </c>
      <c r="D871" s="5">
        <v>189.326443896297</v>
      </c>
      <c r="E871" s="5">
        <v>267.907085374743</v>
      </c>
      <c r="F871" s="5">
        <v>228.201136372894</v>
      </c>
      <c r="G871" s="5">
        <v>228.201136372894</v>
      </c>
      <c r="H871" s="5">
        <v>2.66765265672607</v>
      </c>
      <c r="I871" s="5">
        <v>2.66765265672607</v>
      </c>
      <c r="J871" s="5">
        <v>2.66765265672607</v>
      </c>
      <c r="K871" s="5">
        <v>-0.225417905350631</v>
      </c>
      <c r="L871" s="5">
        <v>-0.225417905350631</v>
      </c>
      <c r="M871" s="5">
        <v>-0.225417905350631</v>
      </c>
      <c r="N871" s="5">
        <v>2.89307056207671</v>
      </c>
      <c r="O871" s="5">
        <v>2.89307056207671</v>
      </c>
      <c r="P871" s="5">
        <v>2.89307056207671</v>
      </c>
      <c r="Q871" s="5">
        <v>0.0</v>
      </c>
      <c r="R871" s="5">
        <v>0.0</v>
      </c>
      <c r="S871" s="5">
        <v>0.0</v>
      </c>
      <c r="T871" s="5">
        <v>230.86878902962</v>
      </c>
    </row>
    <row r="872">
      <c r="A872" s="5">
        <v>870.0</v>
      </c>
      <c r="B872" s="6">
        <v>44841.0</v>
      </c>
      <c r="C872" s="5">
        <v>227.802041626939</v>
      </c>
      <c r="D872" s="5">
        <v>189.296797136849</v>
      </c>
      <c r="E872" s="5">
        <v>270.861244959092</v>
      </c>
      <c r="F872" s="5">
        <v>227.802041626939</v>
      </c>
      <c r="G872" s="5">
        <v>227.802041626939</v>
      </c>
      <c r="H872" s="5">
        <v>1.53826386702835</v>
      </c>
      <c r="I872" s="5">
        <v>1.53826386702835</v>
      </c>
      <c r="J872" s="5">
        <v>1.53826386702835</v>
      </c>
      <c r="K872" s="5">
        <v>-0.739640081281473</v>
      </c>
      <c r="L872" s="5">
        <v>-0.739640081281473</v>
      </c>
      <c r="M872" s="5">
        <v>-0.739640081281473</v>
      </c>
      <c r="N872" s="5">
        <v>2.27790394830983</v>
      </c>
      <c r="O872" s="5">
        <v>2.27790394830983</v>
      </c>
      <c r="P872" s="5">
        <v>2.27790394830983</v>
      </c>
      <c r="Q872" s="5">
        <v>0.0</v>
      </c>
      <c r="R872" s="5">
        <v>0.0</v>
      </c>
      <c r="S872" s="5">
        <v>0.0</v>
      </c>
      <c r="T872" s="5">
        <v>229.340305493967</v>
      </c>
    </row>
    <row r="873">
      <c r="A873" s="5">
        <v>871.0</v>
      </c>
      <c r="B873" s="6">
        <v>44844.0</v>
      </c>
      <c r="C873" s="5">
        <v>226.604757389075</v>
      </c>
      <c r="D873" s="5">
        <v>189.18810212874</v>
      </c>
      <c r="E873" s="5">
        <v>265.558857627291</v>
      </c>
      <c r="F873" s="5">
        <v>226.604757389075</v>
      </c>
      <c r="G873" s="5">
        <v>226.604757389075</v>
      </c>
      <c r="H873" s="5">
        <v>2.32748480090012</v>
      </c>
      <c r="I873" s="5">
        <v>2.32748480090012</v>
      </c>
      <c r="J873" s="5">
        <v>2.32748480090012</v>
      </c>
      <c r="K873" s="5">
        <v>1.16457933345065</v>
      </c>
      <c r="L873" s="5">
        <v>1.16457933345065</v>
      </c>
      <c r="M873" s="5">
        <v>1.16457933345065</v>
      </c>
      <c r="N873" s="5">
        <v>1.16290546744946</v>
      </c>
      <c r="O873" s="5">
        <v>1.16290546744946</v>
      </c>
      <c r="P873" s="5">
        <v>1.16290546744946</v>
      </c>
      <c r="Q873" s="5">
        <v>0.0</v>
      </c>
      <c r="R873" s="5">
        <v>0.0</v>
      </c>
      <c r="S873" s="5">
        <v>0.0</v>
      </c>
      <c r="T873" s="5">
        <v>228.932242189975</v>
      </c>
    </row>
    <row r="874">
      <c r="A874" s="5">
        <v>872.0</v>
      </c>
      <c r="B874" s="6">
        <v>44845.0</v>
      </c>
      <c r="C874" s="5">
        <v>226.20566264312</v>
      </c>
      <c r="D874" s="5">
        <v>188.688213115107</v>
      </c>
      <c r="E874" s="5">
        <v>269.345834500616</v>
      </c>
      <c r="F874" s="5">
        <v>226.20566264312</v>
      </c>
      <c r="G874" s="5">
        <v>226.20566264312</v>
      </c>
      <c r="H874" s="5">
        <v>1.29273418775516</v>
      </c>
      <c r="I874" s="5">
        <v>1.29273418775516</v>
      </c>
      <c r="J874" s="5">
        <v>1.29273418775516</v>
      </c>
      <c r="K874" s="5">
        <v>0.247324772138516</v>
      </c>
      <c r="L874" s="5">
        <v>0.247324772138516</v>
      </c>
      <c r="M874" s="5">
        <v>0.247324772138516</v>
      </c>
      <c r="N874" s="5">
        <v>1.04540941561664</v>
      </c>
      <c r="O874" s="5">
        <v>1.04540941561664</v>
      </c>
      <c r="P874" s="5">
        <v>1.04540941561664</v>
      </c>
      <c r="Q874" s="5">
        <v>0.0</v>
      </c>
      <c r="R874" s="5">
        <v>0.0</v>
      </c>
      <c r="S874" s="5">
        <v>0.0</v>
      </c>
      <c r="T874" s="5">
        <v>227.498396830875</v>
      </c>
    </row>
    <row r="875">
      <c r="A875" s="5">
        <v>873.0</v>
      </c>
      <c r="B875" s="6">
        <v>44846.0</v>
      </c>
      <c r="C875" s="5">
        <v>225.806567897165</v>
      </c>
      <c r="D875" s="5">
        <v>187.689754162323</v>
      </c>
      <c r="E875" s="5">
        <v>265.702609782293</v>
      </c>
      <c r="F875" s="5">
        <v>225.806567897165</v>
      </c>
      <c r="G875" s="5">
        <v>225.806567897165</v>
      </c>
      <c r="H875" s="5">
        <v>1.66145723382626</v>
      </c>
      <c r="I875" s="5">
        <v>1.66145723382626</v>
      </c>
      <c r="J875" s="5">
        <v>1.66145723382626</v>
      </c>
      <c r="K875" s="5">
        <v>0.608132553625608</v>
      </c>
      <c r="L875" s="5">
        <v>0.608132553625608</v>
      </c>
      <c r="M875" s="5">
        <v>0.608132553625608</v>
      </c>
      <c r="N875" s="5">
        <v>1.05332468020065</v>
      </c>
      <c r="O875" s="5">
        <v>1.05332468020065</v>
      </c>
      <c r="P875" s="5">
        <v>1.05332468020065</v>
      </c>
      <c r="Q875" s="5">
        <v>0.0</v>
      </c>
      <c r="R875" s="5">
        <v>0.0</v>
      </c>
      <c r="S875" s="5">
        <v>0.0</v>
      </c>
      <c r="T875" s="5">
        <v>227.468025130991</v>
      </c>
    </row>
    <row r="876">
      <c r="A876" s="5">
        <v>874.0</v>
      </c>
      <c r="B876" s="6">
        <v>44847.0</v>
      </c>
      <c r="C876" s="5">
        <v>225.40747315121</v>
      </c>
      <c r="D876" s="5">
        <v>186.598267304113</v>
      </c>
      <c r="E876" s="5">
        <v>266.057452655042</v>
      </c>
      <c r="F876" s="5">
        <v>225.40747315121</v>
      </c>
      <c r="G876" s="5">
        <v>225.40747315121</v>
      </c>
      <c r="H876" s="5">
        <v>0.956100732083105</v>
      </c>
      <c r="I876" s="5">
        <v>0.956100732083105</v>
      </c>
      <c r="J876" s="5">
        <v>0.956100732083105</v>
      </c>
      <c r="K876" s="5">
        <v>-0.225417905346824</v>
      </c>
      <c r="L876" s="5">
        <v>-0.225417905346824</v>
      </c>
      <c r="M876" s="5">
        <v>-0.225417905346824</v>
      </c>
      <c r="N876" s="5">
        <v>1.18151863742993</v>
      </c>
      <c r="O876" s="5">
        <v>1.18151863742993</v>
      </c>
      <c r="P876" s="5">
        <v>1.18151863742993</v>
      </c>
      <c r="Q876" s="5">
        <v>0.0</v>
      </c>
      <c r="R876" s="5">
        <v>0.0</v>
      </c>
      <c r="S876" s="5">
        <v>0.0</v>
      </c>
      <c r="T876" s="5">
        <v>226.363573883293</v>
      </c>
    </row>
    <row r="877">
      <c r="A877" s="5">
        <v>875.0</v>
      </c>
      <c r="B877" s="6">
        <v>44848.0</v>
      </c>
      <c r="C877" s="5">
        <v>225.008378405256</v>
      </c>
      <c r="D877" s="5">
        <v>184.023137573163</v>
      </c>
      <c r="E877" s="5">
        <v>267.632956315024</v>
      </c>
      <c r="F877" s="5">
        <v>225.008378405256</v>
      </c>
      <c r="G877" s="5">
        <v>225.008378405256</v>
      </c>
      <c r="H877" s="5">
        <v>0.682653499666062</v>
      </c>
      <c r="I877" s="5">
        <v>0.682653499666062</v>
      </c>
      <c r="J877" s="5">
        <v>0.682653499666062</v>
      </c>
      <c r="K877" s="5">
        <v>-0.739640081279196</v>
      </c>
      <c r="L877" s="5">
        <v>-0.739640081279196</v>
      </c>
      <c r="M877" s="5">
        <v>-0.739640081279196</v>
      </c>
      <c r="N877" s="5">
        <v>1.42229358094525</v>
      </c>
      <c r="O877" s="5">
        <v>1.42229358094525</v>
      </c>
      <c r="P877" s="5">
        <v>1.42229358094525</v>
      </c>
      <c r="Q877" s="5">
        <v>0.0</v>
      </c>
      <c r="R877" s="5">
        <v>0.0</v>
      </c>
      <c r="S877" s="5">
        <v>0.0</v>
      </c>
      <c r="T877" s="5">
        <v>225.691031904922</v>
      </c>
    </row>
    <row r="878">
      <c r="A878" s="5">
        <v>876.0</v>
      </c>
      <c r="B878" s="6">
        <v>44851.0</v>
      </c>
      <c r="C878" s="5">
        <v>223.811094167391</v>
      </c>
      <c r="D878" s="5">
        <v>187.986447202681</v>
      </c>
      <c r="E878" s="5">
        <v>269.641929288993</v>
      </c>
      <c r="F878" s="5">
        <v>223.811094167391</v>
      </c>
      <c r="G878" s="5">
        <v>223.811094167391</v>
      </c>
      <c r="H878" s="5">
        <v>3.87439535933029</v>
      </c>
      <c r="I878" s="5">
        <v>3.87439535933029</v>
      </c>
      <c r="J878" s="5">
        <v>3.87439535933029</v>
      </c>
      <c r="K878" s="5">
        <v>1.16457933345089</v>
      </c>
      <c r="L878" s="5">
        <v>1.16457933345089</v>
      </c>
      <c r="M878" s="5">
        <v>1.16457933345089</v>
      </c>
      <c r="N878" s="5">
        <v>2.7098160258794</v>
      </c>
      <c r="O878" s="5">
        <v>2.7098160258794</v>
      </c>
      <c r="P878" s="5">
        <v>2.7098160258794</v>
      </c>
      <c r="Q878" s="5">
        <v>0.0</v>
      </c>
      <c r="R878" s="5">
        <v>0.0</v>
      </c>
      <c r="S878" s="5">
        <v>0.0</v>
      </c>
      <c r="T878" s="5">
        <v>227.685489526722</v>
      </c>
    </row>
    <row r="879">
      <c r="A879" s="5">
        <v>877.0</v>
      </c>
      <c r="B879" s="6">
        <v>44852.0</v>
      </c>
      <c r="C879" s="5">
        <v>223.411999421437</v>
      </c>
      <c r="D879" s="5">
        <v>188.895853381274</v>
      </c>
      <c r="E879" s="5">
        <v>270.756740149539</v>
      </c>
      <c r="F879" s="5">
        <v>223.411999421437</v>
      </c>
      <c r="G879" s="5">
        <v>223.411999421437</v>
      </c>
      <c r="H879" s="5">
        <v>3.5291040822314</v>
      </c>
      <c r="I879" s="5">
        <v>3.5291040822314</v>
      </c>
      <c r="J879" s="5">
        <v>3.5291040822314</v>
      </c>
      <c r="K879" s="5">
        <v>0.247324772138605</v>
      </c>
      <c r="L879" s="5">
        <v>0.247324772138605</v>
      </c>
      <c r="M879" s="5">
        <v>0.247324772138605</v>
      </c>
      <c r="N879" s="5">
        <v>3.28177931009279</v>
      </c>
      <c r="O879" s="5">
        <v>3.28177931009279</v>
      </c>
      <c r="P879" s="5">
        <v>3.28177931009279</v>
      </c>
      <c r="Q879" s="5">
        <v>0.0</v>
      </c>
      <c r="R879" s="5">
        <v>0.0</v>
      </c>
      <c r="S879" s="5">
        <v>0.0</v>
      </c>
      <c r="T879" s="5">
        <v>226.941103503668</v>
      </c>
    </row>
    <row r="880">
      <c r="A880" s="5">
        <v>878.0</v>
      </c>
      <c r="B880" s="6">
        <v>44853.0</v>
      </c>
      <c r="C880" s="5">
        <v>223.012904675482</v>
      </c>
      <c r="D880" s="5">
        <v>187.933657692697</v>
      </c>
      <c r="E880" s="5">
        <v>266.602389950265</v>
      </c>
      <c r="F880" s="5">
        <v>223.012904675482</v>
      </c>
      <c r="G880" s="5">
        <v>223.012904675482</v>
      </c>
      <c r="H880" s="5">
        <v>4.50738299571707</v>
      </c>
      <c r="I880" s="5">
        <v>4.50738299571707</v>
      </c>
      <c r="J880" s="5">
        <v>4.50738299571707</v>
      </c>
      <c r="K880" s="5">
        <v>0.608132553624719</v>
      </c>
      <c r="L880" s="5">
        <v>0.608132553624719</v>
      </c>
      <c r="M880" s="5">
        <v>0.608132553624719</v>
      </c>
      <c r="N880" s="5">
        <v>3.89925044209235</v>
      </c>
      <c r="O880" s="5">
        <v>3.89925044209235</v>
      </c>
      <c r="P880" s="5">
        <v>3.89925044209235</v>
      </c>
      <c r="Q880" s="5">
        <v>0.0</v>
      </c>
      <c r="R880" s="5">
        <v>0.0</v>
      </c>
      <c r="S880" s="5">
        <v>0.0</v>
      </c>
      <c r="T880" s="5">
        <v>227.520287671199</v>
      </c>
    </row>
    <row r="881">
      <c r="A881" s="5">
        <v>879.0</v>
      </c>
      <c r="B881" s="6">
        <v>44854.0</v>
      </c>
      <c r="C881" s="5">
        <v>222.613809929527</v>
      </c>
      <c r="D881" s="5">
        <v>187.738503913939</v>
      </c>
      <c r="E881" s="5">
        <v>267.376781508135</v>
      </c>
      <c r="F881" s="5">
        <v>222.613809929527</v>
      </c>
      <c r="G881" s="5">
        <v>222.613809929527</v>
      </c>
      <c r="H881" s="5">
        <v>4.32032562671328</v>
      </c>
      <c r="I881" s="5">
        <v>4.32032562671328</v>
      </c>
      <c r="J881" s="5">
        <v>4.32032562671328</v>
      </c>
      <c r="K881" s="5">
        <v>-0.225417905349789</v>
      </c>
      <c r="L881" s="5">
        <v>-0.225417905349789</v>
      </c>
      <c r="M881" s="5">
        <v>-0.225417905349789</v>
      </c>
      <c r="N881" s="5">
        <v>4.54574353206307</v>
      </c>
      <c r="O881" s="5">
        <v>4.54574353206307</v>
      </c>
      <c r="P881" s="5">
        <v>4.54574353206307</v>
      </c>
      <c r="Q881" s="5">
        <v>0.0</v>
      </c>
      <c r="R881" s="5">
        <v>0.0</v>
      </c>
      <c r="S881" s="5">
        <v>0.0</v>
      </c>
      <c r="T881" s="5">
        <v>226.93413555624</v>
      </c>
    </row>
    <row r="882">
      <c r="A882" s="5">
        <v>880.0</v>
      </c>
      <c r="B882" s="6">
        <v>44855.0</v>
      </c>
      <c r="C882" s="5">
        <v>222.214715183572</v>
      </c>
      <c r="D882" s="5">
        <v>182.763857051033</v>
      </c>
      <c r="E882" s="5">
        <v>267.452460172026</v>
      </c>
      <c r="F882" s="5">
        <v>222.214715183572</v>
      </c>
      <c r="G882" s="5">
        <v>222.214715183572</v>
      </c>
      <c r="H882" s="5">
        <v>4.46512497657362</v>
      </c>
      <c r="I882" s="5">
        <v>4.46512497657362</v>
      </c>
      <c r="J882" s="5">
        <v>4.46512497657362</v>
      </c>
      <c r="K882" s="5">
        <v>-0.739640081280352</v>
      </c>
      <c r="L882" s="5">
        <v>-0.739640081280352</v>
      </c>
      <c r="M882" s="5">
        <v>-0.739640081280352</v>
      </c>
      <c r="N882" s="5">
        <v>5.20476505785397</v>
      </c>
      <c r="O882" s="5">
        <v>5.20476505785397</v>
      </c>
      <c r="P882" s="5">
        <v>5.20476505785397</v>
      </c>
      <c r="Q882" s="5">
        <v>0.0</v>
      </c>
      <c r="R882" s="5">
        <v>0.0</v>
      </c>
      <c r="S882" s="5">
        <v>0.0</v>
      </c>
      <c r="T882" s="5">
        <v>226.679840160146</v>
      </c>
    </row>
    <row r="883">
      <c r="A883" s="5">
        <v>881.0</v>
      </c>
      <c r="B883" s="6">
        <v>44858.0</v>
      </c>
      <c r="C883" s="5">
        <v>221.017430945708</v>
      </c>
      <c r="D883" s="5">
        <v>187.133156943722</v>
      </c>
      <c r="E883" s="5">
        <v>268.653827492641</v>
      </c>
      <c r="F883" s="5">
        <v>221.017430945708</v>
      </c>
      <c r="G883" s="5">
        <v>221.017430945708</v>
      </c>
      <c r="H883" s="5">
        <v>8.26585081461954</v>
      </c>
      <c r="I883" s="5">
        <v>8.26585081461954</v>
      </c>
      <c r="J883" s="5">
        <v>8.26585081461954</v>
      </c>
      <c r="K883" s="5">
        <v>1.16457933345133</v>
      </c>
      <c r="L883" s="5">
        <v>1.16457933345133</v>
      </c>
      <c r="M883" s="5">
        <v>1.16457933345133</v>
      </c>
      <c r="N883" s="5">
        <v>7.10127148116821</v>
      </c>
      <c r="O883" s="5">
        <v>7.10127148116821</v>
      </c>
      <c r="P883" s="5">
        <v>7.10127148116821</v>
      </c>
      <c r="Q883" s="5">
        <v>0.0</v>
      </c>
      <c r="R883" s="5">
        <v>0.0</v>
      </c>
      <c r="S883" s="5">
        <v>0.0</v>
      </c>
      <c r="T883" s="5">
        <v>229.283281760328</v>
      </c>
    </row>
    <row r="884">
      <c r="A884" s="5">
        <v>882.0</v>
      </c>
      <c r="B884" s="6">
        <v>44859.0</v>
      </c>
      <c r="C884" s="5">
        <v>220.618336199753</v>
      </c>
      <c r="D884" s="5">
        <v>188.998148707506</v>
      </c>
      <c r="E884" s="5">
        <v>268.833898108692</v>
      </c>
      <c r="F884" s="5">
        <v>220.618336199753</v>
      </c>
      <c r="G884" s="5">
        <v>220.618336199753</v>
      </c>
      <c r="H884" s="5">
        <v>7.90796653310206</v>
      </c>
      <c r="I884" s="5">
        <v>7.90796653310206</v>
      </c>
      <c r="J884" s="5">
        <v>7.90796653310206</v>
      </c>
      <c r="K884" s="5">
        <v>0.24732477213727</v>
      </c>
      <c r="L884" s="5">
        <v>0.24732477213727</v>
      </c>
      <c r="M884" s="5">
        <v>0.24732477213727</v>
      </c>
      <c r="N884" s="5">
        <v>7.66064176096479</v>
      </c>
      <c r="O884" s="5">
        <v>7.66064176096479</v>
      </c>
      <c r="P884" s="5">
        <v>7.66064176096479</v>
      </c>
      <c r="Q884" s="5">
        <v>0.0</v>
      </c>
      <c r="R884" s="5">
        <v>0.0</v>
      </c>
      <c r="S884" s="5">
        <v>0.0</v>
      </c>
      <c r="T884" s="5">
        <v>228.526302732855</v>
      </c>
    </row>
    <row r="885">
      <c r="A885" s="5">
        <v>883.0</v>
      </c>
      <c r="B885" s="6">
        <v>44860.0</v>
      </c>
      <c r="C885" s="5">
        <v>220.219241453799</v>
      </c>
      <c r="D885" s="5">
        <v>189.383478888726</v>
      </c>
      <c r="E885" s="5">
        <v>270.679455476157</v>
      </c>
      <c r="F885" s="5">
        <v>220.219241453799</v>
      </c>
      <c r="G885" s="5">
        <v>220.219241453799</v>
      </c>
      <c r="H885" s="5">
        <v>8.77302526418189</v>
      </c>
      <c r="I885" s="5">
        <v>8.77302526418189</v>
      </c>
      <c r="J885" s="5">
        <v>8.77302526418189</v>
      </c>
      <c r="K885" s="5">
        <v>0.608132553626498</v>
      </c>
      <c r="L885" s="5">
        <v>0.608132553626498</v>
      </c>
      <c r="M885" s="5">
        <v>0.608132553626498</v>
      </c>
      <c r="N885" s="5">
        <v>8.1648927105554</v>
      </c>
      <c r="O885" s="5">
        <v>8.1648927105554</v>
      </c>
      <c r="P885" s="5">
        <v>8.1648927105554</v>
      </c>
      <c r="Q885" s="5">
        <v>0.0</v>
      </c>
      <c r="R885" s="5">
        <v>0.0</v>
      </c>
      <c r="S885" s="5">
        <v>0.0</v>
      </c>
      <c r="T885" s="5">
        <v>228.99226671798</v>
      </c>
    </row>
    <row r="886">
      <c r="A886" s="5">
        <v>884.0</v>
      </c>
      <c r="B886" s="6">
        <v>44861.0</v>
      </c>
      <c r="C886" s="5">
        <v>219.820146707844</v>
      </c>
      <c r="D886" s="5">
        <v>188.855816751671</v>
      </c>
      <c r="E886" s="5">
        <v>269.779936117061</v>
      </c>
      <c r="F886" s="5">
        <v>219.820146707844</v>
      </c>
      <c r="G886" s="5">
        <v>219.820146707844</v>
      </c>
      <c r="H886" s="5">
        <v>8.38054516306201</v>
      </c>
      <c r="I886" s="5">
        <v>8.38054516306201</v>
      </c>
      <c r="J886" s="5">
        <v>8.38054516306201</v>
      </c>
      <c r="K886" s="5">
        <v>-0.225417905347442</v>
      </c>
      <c r="L886" s="5">
        <v>-0.225417905347442</v>
      </c>
      <c r="M886" s="5">
        <v>-0.225417905347442</v>
      </c>
      <c r="N886" s="5">
        <v>8.60596306840945</v>
      </c>
      <c r="O886" s="5">
        <v>8.60596306840945</v>
      </c>
      <c r="P886" s="5">
        <v>8.60596306840945</v>
      </c>
      <c r="Q886" s="5">
        <v>0.0</v>
      </c>
      <c r="R886" s="5">
        <v>0.0</v>
      </c>
      <c r="S886" s="5">
        <v>0.0</v>
      </c>
      <c r="T886" s="5">
        <v>228.200691870906</v>
      </c>
    </row>
    <row r="887">
      <c r="A887" s="5">
        <v>885.0</v>
      </c>
      <c r="B887" s="6">
        <v>44862.0</v>
      </c>
      <c r="C887" s="5">
        <v>219.421051961889</v>
      </c>
      <c r="D887" s="5">
        <v>188.835043484147</v>
      </c>
      <c r="E887" s="5">
        <v>266.636749898787</v>
      </c>
      <c r="F887" s="5">
        <v>219.421051961889</v>
      </c>
      <c r="G887" s="5">
        <v>219.421051961889</v>
      </c>
      <c r="H887" s="5">
        <v>8.23856164592646</v>
      </c>
      <c r="I887" s="5">
        <v>8.23856164592646</v>
      </c>
      <c r="J887" s="5">
        <v>8.23856164592646</v>
      </c>
      <c r="K887" s="5">
        <v>-0.739640081278075</v>
      </c>
      <c r="L887" s="5">
        <v>-0.739640081278075</v>
      </c>
      <c r="M887" s="5">
        <v>-0.739640081278075</v>
      </c>
      <c r="N887" s="5">
        <v>8.97820172720453</v>
      </c>
      <c r="O887" s="5">
        <v>8.97820172720453</v>
      </c>
      <c r="P887" s="5">
        <v>8.97820172720453</v>
      </c>
      <c r="Q887" s="5">
        <v>0.0</v>
      </c>
      <c r="R887" s="5">
        <v>0.0</v>
      </c>
      <c r="S887" s="5">
        <v>0.0</v>
      </c>
      <c r="T887" s="5">
        <v>227.659613607815</v>
      </c>
    </row>
    <row r="888">
      <c r="A888" s="5">
        <v>886.0</v>
      </c>
      <c r="B888" s="6">
        <v>44865.0</v>
      </c>
      <c r="C888" s="5">
        <v>218.223767724025</v>
      </c>
      <c r="D888" s="5">
        <v>189.233408989159</v>
      </c>
      <c r="E888" s="5">
        <v>268.242794343311</v>
      </c>
      <c r="F888" s="5">
        <v>218.223767724025</v>
      </c>
      <c r="G888" s="5">
        <v>218.223767724025</v>
      </c>
      <c r="H888" s="5">
        <v>10.8280826950568</v>
      </c>
      <c r="I888" s="5">
        <v>10.8280826950568</v>
      </c>
      <c r="J888" s="5">
        <v>10.8280826950568</v>
      </c>
      <c r="K888" s="5">
        <v>1.16457933345156</v>
      </c>
      <c r="L888" s="5">
        <v>1.16457933345156</v>
      </c>
      <c r="M888" s="5">
        <v>1.16457933345156</v>
      </c>
      <c r="N888" s="5">
        <v>9.66350336160525</v>
      </c>
      <c r="O888" s="5">
        <v>9.66350336160525</v>
      </c>
      <c r="P888" s="5">
        <v>9.66350336160525</v>
      </c>
      <c r="Q888" s="5">
        <v>0.0</v>
      </c>
      <c r="R888" s="5">
        <v>0.0</v>
      </c>
      <c r="S888" s="5">
        <v>0.0</v>
      </c>
      <c r="T888" s="5">
        <v>229.051850419081</v>
      </c>
    </row>
    <row r="889">
      <c r="A889" s="5">
        <v>887.0</v>
      </c>
      <c r="B889" s="6">
        <v>44866.0</v>
      </c>
      <c r="C889" s="5">
        <v>217.824672980686</v>
      </c>
      <c r="D889" s="5">
        <v>189.640718963299</v>
      </c>
      <c r="E889" s="5">
        <v>273.114911750987</v>
      </c>
      <c r="F889" s="5">
        <v>217.824672980686</v>
      </c>
      <c r="G889" s="5">
        <v>217.824672980686</v>
      </c>
      <c r="H889" s="5">
        <v>10.0019451601941</v>
      </c>
      <c r="I889" s="5">
        <v>10.0019451601941</v>
      </c>
      <c r="J889" s="5">
        <v>10.0019451601941</v>
      </c>
      <c r="K889" s="5">
        <v>0.247324772140079</v>
      </c>
      <c r="L889" s="5">
        <v>0.247324772140079</v>
      </c>
      <c r="M889" s="5">
        <v>0.247324772140079</v>
      </c>
      <c r="N889" s="5">
        <v>9.75462038805405</v>
      </c>
      <c r="O889" s="5">
        <v>9.75462038805405</v>
      </c>
      <c r="P889" s="5">
        <v>9.75462038805405</v>
      </c>
      <c r="Q889" s="5">
        <v>0.0</v>
      </c>
      <c r="R889" s="5">
        <v>0.0</v>
      </c>
      <c r="S889" s="5">
        <v>0.0</v>
      </c>
      <c r="T889" s="5">
        <v>227.826618140881</v>
      </c>
    </row>
    <row r="890">
      <c r="A890" s="5">
        <v>888.0</v>
      </c>
      <c r="B890" s="6">
        <v>44867.0</v>
      </c>
      <c r="C890" s="5">
        <v>217.425578237348</v>
      </c>
      <c r="D890" s="5">
        <v>185.078028849395</v>
      </c>
      <c r="E890" s="5">
        <v>268.78693824847</v>
      </c>
      <c r="F890" s="5">
        <v>217.425578237348</v>
      </c>
      <c r="G890" s="5">
        <v>217.425578237348</v>
      </c>
      <c r="H890" s="5">
        <v>10.3943841005283</v>
      </c>
      <c r="I890" s="5">
        <v>10.3943841005283</v>
      </c>
      <c r="J890" s="5">
        <v>10.3943841005283</v>
      </c>
      <c r="K890" s="5">
        <v>0.608132553628276</v>
      </c>
      <c r="L890" s="5">
        <v>0.608132553628276</v>
      </c>
      <c r="M890" s="5">
        <v>0.608132553628276</v>
      </c>
      <c r="N890" s="5">
        <v>9.78625154690002</v>
      </c>
      <c r="O890" s="5">
        <v>9.78625154690002</v>
      </c>
      <c r="P890" s="5">
        <v>9.78625154690002</v>
      </c>
      <c r="Q890" s="5">
        <v>0.0</v>
      </c>
      <c r="R890" s="5">
        <v>0.0</v>
      </c>
      <c r="S890" s="5">
        <v>0.0</v>
      </c>
      <c r="T890" s="5">
        <v>227.819962337876</v>
      </c>
    </row>
    <row r="891">
      <c r="A891" s="5">
        <v>889.0</v>
      </c>
      <c r="B891" s="6">
        <v>44868.0</v>
      </c>
      <c r="C891" s="5">
        <v>217.02648349401</v>
      </c>
      <c r="D891" s="5">
        <v>183.837623499455</v>
      </c>
      <c r="E891" s="5">
        <v>267.48501503441</v>
      </c>
      <c r="F891" s="5">
        <v>217.02648349401</v>
      </c>
      <c r="G891" s="5">
        <v>217.02648349401</v>
      </c>
      <c r="H891" s="5">
        <v>9.54160785558355</v>
      </c>
      <c r="I891" s="5">
        <v>9.54160785558355</v>
      </c>
      <c r="J891" s="5">
        <v>9.54160785558355</v>
      </c>
      <c r="K891" s="5">
        <v>-0.225417905347021</v>
      </c>
      <c r="L891" s="5">
        <v>-0.225417905347021</v>
      </c>
      <c r="M891" s="5">
        <v>-0.225417905347021</v>
      </c>
      <c r="N891" s="5">
        <v>9.76702576093057</v>
      </c>
      <c r="O891" s="5">
        <v>9.76702576093057</v>
      </c>
      <c r="P891" s="5">
        <v>9.76702576093057</v>
      </c>
      <c r="Q891" s="5">
        <v>0.0</v>
      </c>
      <c r="R891" s="5">
        <v>0.0</v>
      </c>
      <c r="S891" s="5">
        <v>0.0</v>
      </c>
      <c r="T891" s="5">
        <v>226.568091349593</v>
      </c>
    </row>
    <row r="892">
      <c r="A892" s="5">
        <v>890.0</v>
      </c>
      <c r="B892" s="6">
        <v>44869.0</v>
      </c>
      <c r="C892" s="5">
        <v>216.627388750671</v>
      </c>
      <c r="D892" s="5">
        <v>185.191292686936</v>
      </c>
      <c r="E892" s="5">
        <v>265.495815499077</v>
      </c>
      <c r="F892" s="5">
        <v>216.627388750671</v>
      </c>
      <c r="G892" s="5">
        <v>216.627388750671</v>
      </c>
      <c r="H892" s="5">
        <v>8.96760829450175</v>
      </c>
      <c r="I892" s="5">
        <v>8.96760829450175</v>
      </c>
      <c r="J892" s="5">
        <v>8.96760829450175</v>
      </c>
      <c r="K892" s="5">
        <v>-0.739640081282663</v>
      </c>
      <c r="L892" s="5">
        <v>-0.739640081282663</v>
      </c>
      <c r="M892" s="5">
        <v>-0.739640081282663</v>
      </c>
      <c r="N892" s="5">
        <v>9.70724837578441</v>
      </c>
      <c r="O892" s="5">
        <v>9.70724837578441</v>
      </c>
      <c r="P892" s="5">
        <v>9.70724837578441</v>
      </c>
      <c r="Q892" s="5">
        <v>0.0</v>
      </c>
      <c r="R892" s="5">
        <v>0.0</v>
      </c>
      <c r="S892" s="5">
        <v>0.0</v>
      </c>
      <c r="T892" s="5">
        <v>225.594997045173</v>
      </c>
    </row>
    <row r="893">
      <c r="A893" s="5">
        <v>891.0</v>
      </c>
      <c r="B893" s="6">
        <v>44872.0</v>
      </c>
      <c r="C893" s="5">
        <v>215.430104520656</v>
      </c>
      <c r="D893" s="5">
        <v>187.462845289303</v>
      </c>
      <c r="E893" s="5">
        <v>268.155173833326</v>
      </c>
      <c r="F893" s="5">
        <v>215.430104520656</v>
      </c>
      <c r="G893" s="5">
        <v>215.430104520656</v>
      </c>
      <c r="H893" s="5">
        <v>10.56951884362</v>
      </c>
      <c r="I893" s="5">
        <v>10.56951884362</v>
      </c>
      <c r="J893" s="5">
        <v>10.56951884362</v>
      </c>
      <c r="K893" s="5">
        <v>1.16457933345017</v>
      </c>
      <c r="L893" s="5">
        <v>1.16457933345017</v>
      </c>
      <c r="M893" s="5">
        <v>1.16457933345017</v>
      </c>
      <c r="N893" s="5">
        <v>9.40493951016984</v>
      </c>
      <c r="O893" s="5">
        <v>9.40493951016984</v>
      </c>
      <c r="P893" s="5">
        <v>9.40493951016984</v>
      </c>
      <c r="Q893" s="5">
        <v>0.0</v>
      </c>
      <c r="R893" s="5">
        <v>0.0</v>
      </c>
      <c r="S893" s="5">
        <v>0.0</v>
      </c>
      <c r="T893" s="5">
        <v>225.999623364276</v>
      </c>
    </row>
    <row r="894">
      <c r="A894" s="5">
        <v>892.0</v>
      </c>
      <c r="B894" s="6">
        <v>44873.0</v>
      </c>
      <c r="C894" s="5">
        <v>215.031009777318</v>
      </c>
      <c r="D894" s="5">
        <v>186.465365603858</v>
      </c>
      <c r="E894" s="5">
        <v>265.401972201874</v>
      </c>
      <c r="F894" s="5">
        <v>215.031009777318</v>
      </c>
      <c r="G894" s="5">
        <v>215.031009777318</v>
      </c>
      <c r="H894" s="5">
        <v>9.55344265547466</v>
      </c>
      <c r="I894" s="5">
        <v>9.55344265547466</v>
      </c>
      <c r="J894" s="5">
        <v>9.55344265547466</v>
      </c>
      <c r="K894" s="5">
        <v>0.247324772138744</v>
      </c>
      <c r="L894" s="5">
        <v>0.247324772138744</v>
      </c>
      <c r="M894" s="5">
        <v>0.247324772138744</v>
      </c>
      <c r="N894" s="5">
        <v>9.30611788333591</v>
      </c>
      <c r="O894" s="5">
        <v>9.30611788333591</v>
      </c>
      <c r="P894" s="5">
        <v>9.30611788333591</v>
      </c>
      <c r="Q894" s="5">
        <v>0.0</v>
      </c>
      <c r="R894" s="5">
        <v>0.0</v>
      </c>
      <c r="S894" s="5">
        <v>0.0</v>
      </c>
      <c r="T894" s="5">
        <v>224.584452432793</v>
      </c>
    </row>
    <row r="895">
      <c r="A895" s="5">
        <v>893.0</v>
      </c>
      <c r="B895" s="6">
        <v>44874.0</v>
      </c>
      <c r="C895" s="5">
        <v>214.63191503398</v>
      </c>
      <c r="D895" s="5">
        <v>182.483861830043</v>
      </c>
      <c r="E895" s="5">
        <v>262.024465319437</v>
      </c>
      <c r="F895" s="5">
        <v>214.63191503398</v>
      </c>
      <c r="G895" s="5">
        <v>214.63191503398</v>
      </c>
      <c r="H895" s="5">
        <v>9.83774366371339</v>
      </c>
      <c r="I895" s="5">
        <v>9.83774366371339</v>
      </c>
      <c r="J895" s="5">
        <v>9.83774366371339</v>
      </c>
      <c r="K895" s="5">
        <v>0.608132553627387</v>
      </c>
      <c r="L895" s="5">
        <v>0.608132553627387</v>
      </c>
      <c r="M895" s="5">
        <v>0.608132553627387</v>
      </c>
      <c r="N895" s="5">
        <v>9.229611110086</v>
      </c>
      <c r="O895" s="5">
        <v>9.229611110086</v>
      </c>
      <c r="P895" s="5">
        <v>9.229611110086</v>
      </c>
      <c r="Q895" s="5">
        <v>0.0</v>
      </c>
      <c r="R895" s="5">
        <v>0.0</v>
      </c>
      <c r="S895" s="5">
        <v>0.0</v>
      </c>
      <c r="T895" s="5">
        <v>224.469658697693</v>
      </c>
    </row>
    <row r="896">
      <c r="A896" s="5">
        <v>894.0</v>
      </c>
      <c r="B896" s="6">
        <v>44875.0</v>
      </c>
      <c r="C896" s="5">
        <v>214.232820290642</v>
      </c>
      <c r="D896" s="5">
        <v>183.90532077757</v>
      </c>
      <c r="E896" s="5">
        <v>265.834872838475</v>
      </c>
      <c r="F896" s="5">
        <v>214.232820290642</v>
      </c>
      <c r="G896" s="5">
        <v>214.232820290642</v>
      </c>
      <c r="H896" s="5">
        <v>8.96180251955568</v>
      </c>
      <c r="I896" s="5">
        <v>8.96180251955568</v>
      </c>
      <c r="J896" s="5">
        <v>8.96180251955568</v>
      </c>
      <c r="K896" s="5">
        <v>-0.2254179053466</v>
      </c>
      <c r="L896" s="5">
        <v>-0.2254179053466</v>
      </c>
      <c r="M896" s="5">
        <v>-0.2254179053466</v>
      </c>
      <c r="N896" s="5">
        <v>9.18722042490228</v>
      </c>
      <c r="O896" s="5">
        <v>9.18722042490228</v>
      </c>
      <c r="P896" s="5">
        <v>9.18722042490228</v>
      </c>
      <c r="Q896" s="5">
        <v>0.0</v>
      </c>
      <c r="R896" s="5">
        <v>0.0</v>
      </c>
      <c r="S896" s="5">
        <v>0.0</v>
      </c>
      <c r="T896" s="5">
        <v>223.194622810197</v>
      </c>
    </row>
    <row r="897">
      <c r="A897" s="5">
        <v>895.0</v>
      </c>
      <c r="B897" s="6">
        <v>44876.0</v>
      </c>
      <c r="C897" s="5">
        <v>213.833725547303</v>
      </c>
      <c r="D897" s="5">
        <v>181.90131115915</v>
      </c>
      <c r="E897" s="5">
        <v>262.184005162609</v>
      </c>
      <c r="F897" s="5">
        <v>213.833725547303</v>
      </c>
      <c r="G897" s="5">
        <v>213.833725547303</v>
      </c>
      <c r="H897" s="5">
        <v>8.44985348760225</v>
      </c>
      <c r="I897" s="5">
        <v>8.44985348760225</v>
      </c>
      <c r="J897" s="5">
        <v>8.44985348760225</v>
      </c>
      <c r="K897" s="5">
        <v>-0.739640081280386</v>
      </c>
      <c r="L897" s="5">
        <v>-0.739640081280386</v>
      </c>
      <c r="M897" s="5">
        <v>-0.739640081280386</v>
      </c>
      <c r="N897" s="5">
        <v>9.18949356888263</v>
      </c>
      <c r="O897" s="5">
        <v>9.18949356888263</v>
      </c>
      <c r="P897" s="5">
        <v>9.18949356888263</v>
      </c>
      <c r="Q897" s="5">
        <v>0.0</v>
      </c>
      <c r="R897" s="5">
        <v>0.0</v>
      </c>
      <c r="S897" s="5">
        <v>0.0</v>
      </c>
      <c r="T897" s="5">
        <v>222.283579034905</v>
      </c>
    </row>
    <row r="898">
      <c r="A898" s="5">
        <v>896.0</v>
      </c>
      <c r="B898" s="6">
        <v>44879.0</v>
      </c>
      <c r="C898" s="5">
        <v>212.636441317288</v>
      </c>
      <c r="D898" s="5">
        <v>182.384828013445</v>
      </c>
      <c r="E898" s="5">
        <v>263.207303233427</v>
      </c>
      <c r="F898" s="5">
        <v>212.636441317288</v>
      </c>
      <c r="G898" s="5">
        <v>212.636441317288</v>
      </c>
      <c r="H898" s="5">
        <v>10.7080856709077</v>
      </c>
      <c r="I898" s="5">
        <v>10.7080856709077</v>
      </c>
      <c r="J898" s="5">
        <v>10.7080856709077</v>
      </c>
      <c r="K898" s="5">
        <v>1.16457933345051</v>
      </c>
      <c r="L898" s="5">
        <v>1.16457933345051</v>
      </c>
      <c r="M898" s="5">
        <v>1.16457933345051</v>
      </c>
      <c r="N898" s="5">
        <v>9.54350633745721</v>
      </c>
      <c r="O898" s="5">
        <v>9.54350633745721</v>
      </c>
      <c r="P898" s="5">
        <v>9.54350633745721</v>
      </c>
      <c r="Q898" s="5">
        <v>0.0</v>
      </c>
      <c r="R898" s="5">
        <v>0.0</v>
      </c>
      <c r="S898" s="5">
        <v>0.0</v>
      </c>
      <c r="T898" s="5">
        <v>223.344526988196</v>
      </c>
    </row>
    <row r="899">
      <c r="A899" s="5">
        <v>897.0</v>
      </c>
      <c r="B899" s="6">
        <v>44880.0</v>
      </c>
      <c r="C899" s="5">
        <v>212.23734657395</v>
      </c>
      <c r="D899" s="5">
        <v>180.401125930207</v>
      </c>
      <c r="E899" s="5">
        <v>262.771596409486</v>
      </c>
      <c r="F899" s="5">
        <v>212.23734657395</v>
      </c>
      <c r="G899" s="5">
        <v>212.23734657395</v>
      </c>
      <c r="H899" s="5">
        <v>10.0402368372584</v>
      </c>
      <c r="I899" s="5">
        <v>10.0402368372584</v>
      </c>
      <c r="J899" s="5">
        <v>10.0402368372584</v>
      </c>
      <c r="K899" s="5">
        <v>0.247324772140255</v>
      </c>
      <c r="L899" s="5">
        <v>0.247324772140255</v>
      </c>
      <c r="M899" s="5">
        <v>0.247324772140255</v>
      </c>
      <c r="N899" s="5">
        <v>9.7929120651182</v>
      </c>
      <c r="O899" s="5">
        <v>9.7929120651182</v>
      </c>
      <c r="P899" s="5">
        <v>9.7929120651182</v>
      </c>
      <c r="Q899" s="5">
        <v>0.0</v>
      </c>
      <c r="R899" s="5">
        <v>0.0</v>
      </c>
      <c r="S899" s="5">
        <v>0.0</v>
      </c>
      <c r="T899" s="5">
        <v>222.277583411208</v>
      </c>
    </row>
    <row r="900">
      <c r="A900" s="5">
        <v>898.0</v>
      </c>
      <c r="B900" s="6">
        <v>44881.0</v>
      </c>
      <c r="C900" s="5">
        <v>211.838251830612</v>
      </c>
      <c r="D900" s="5">
        <v>181.175689949787</v>
      </c>
      <c r="E900" s="5">
        <v>262.995370775794</v>
      </c>
      <c r="F900" s="5">
        <v>211.838251830612</v>
      </c>
      <c r="G900" s="5">
        <v>211.838251830612</v>
      </c>
      <c r="H900" s="5">
        <v>10.7179393821753</v>
      </c>
      <c r="I900" s="5">
        <v>10.7179393821753</v>
      </c>
      <c r="J900" s="5">
        <v>10.7179393821753</v>
      </c>
      <c r="K900" s="5">
        <v>0.608132553626497</v>
      </c>
      <c r="L900" s="5">
        <v>0.608132553626497</v>
      </c>
      <c r="M900" s="5">
        <v>0.608132553626497</v>
      </c>
      <c r="N900" s="5">
        <v>10.1098068285488</v>
      </c>
      <c r="O900" s="5">
        <v>10.1098068285488</v>
      </c>
      <c r="P900" s="5">
        <v>10.1098068285488</v>
      </c>
      <c r="Q900" s="5">
        <v>0.0</v>
      </c>
      <c r="R900" s="5">
        <v>0.0</v>
      </c>
      <c r="S900" s="5">
        <v>0.0</v>
      </c>
      <c r="T900" s="5">
        <v>222.556191212787</v>
      </c>
    </row>
    <row r="901">
      <c r="A901" s="5">
        <v>899.0</v>
      </c>
      <c r="B901" s="6">
        <v>44882.0</v>
      </c>
      <c r="C901" s="5">
        <v>211.439157087273</v>
      </c>
      <c r="D901" s="5">
        <v>180.669422598954</v>
      </c>
      <c r="E901" s="5">
        <v>263.532295137273</v>
      </c>
      <c r="F901" s="5">
        <v>211.439157087273</v>
      </c>
      <c r="G901" s="5">
        <v>211.439157087273</v>
      </c>
      <c r="H901" s="5">
        <v>10.2660175524683</v>
      </c>
      <c r="I901" s="5">
        <v>10.2660175524683</v>
      </c>
      <c r="J901" s="5">
        <v>10.2660175524683</v>
      </c>
      <c r="K901" s="5">
        <v>-0.225417905349564</v>
      </c>
      <c r="L901" s="5">
        <v>-0.225417905349564</v>
      </c>
      <c r="M901" s="5">
        <v>-0.225417905349564</v>
      </c>
      <c r="N901" s="5">
        <v>10.4914354578179</v>
      </c>
      <c r="O901" s="5">
        <v>10.4914354578179</v>
      </c>
      <c r="P901" s="5">
        <v>10.4914354578179</v>
      </c>
      <c r="Q901" s="5">
        <v>0.0</v>
      </c>
      <c r="R901" s="5">
        <v>0.0</v>
      </c>
      <c r="S901" s="5">
        <v>0.0</v>
      </c>
      <c r="T901" s="5">
        <v>221.705174639742</v>
      </c>
    </row>
    <row r="902">
      <c r="A902" s="5">
        <v>900.0</v>
      </c>
      <c r="B902" s="6">
        <v>44883.0</v>
      </c>
      <c r="C902" s="5">
        <v>211.040062343935</v>
      </c>
      <c r="D902" s="5">
        <v>183.478943375498</v>
      </c>
      <c r="E902" s="5">
        <v>260.081044460332</v>
      </c>
      <c r="F902" s="5">
        <v>211.040062343935</v>
      </c>
      <c r="G902" s="5">
        <v>211.040062343935</v>
      </c>
      <c r="H902" s="5">
        <v>10.1928649708038</v>
      </c>
      <c r="I902" s="5">
        <v>10.1928649708038</v>
      </c>
      <c r="J902" s="5">
        <v>10.1928649708038</v>
      </c>
      <c r="K902" s="5">
        <v>-0.739640081282913</v>
      </c>
      <c r="L902" s="5">
        <v>-0.739640081282913</v>
      </c>
      <c r="M902" s="5">
        <v>-0.739640081282913</v>
      </c>
      <c r="N902" s="5">
        <v>10.9325050520868</v>
      </c>
      <c r="O902" s="5">
        <v>10.9325050520868</v>
      </c>
      <c r="P902" s="5">
        <v>10.9325050520868</v>
      </c>
      <c r="Q902" s="5">
        <v>0.0</v>
      </c>
      <c r="R902" s="5">
        <v>0.0</v>
      </c>
      <c r="S902" s="5">
        <v>0.0</v>
      </c>
      <c r="T902" s="5">
        <v>221.232927314739</v>
      </c>
    </row>
    <row r="903">
      <c r="A903" s="5">
        <v>901.0</v>
      </c>
      <c r="B903" s="6">
        <v>44886.0</v>
      </c>
      <c r="C903" s="5">
        <v>209.84277811392</v>
      </c>
      <c r="D903" s="5">
        <v>180.656876079203</v>
      </c>
      <c r="E903" s="5">
        <v>265.0687126227</v>
      </c>
      <c r="F903" s="5">
        <v>209.84277811392</v>
      </c>
      <c r="G903" s="5">
        <v>209.84277811392</v>
      </c>
      <c r="H903" s="5">
        <v>13.6889412091335</v>
      </c>
      <c r="I903" s="5">
        <v>13.6889412091335</v>
      </c>
      <c r="J903" s="5">
        <v>13.6889412091335</v>
      </c>
      <c r="K903" s="5">
        <v>1.16457933345085</v>
      </c>
      <c r="L903" s="5">
        <v>1.16457933345085</v>
      </c>
      <c r="M903" s="5">
        <v>1.16457933345085</v>
      </c>
      <c r="N903" s="5">
        <v>12.5243618756827</v>
      </c>
      <c r="O903" s="5">
        <v>12.5243618756827</v>
      </c>
      <c r="P903" s="5">
        <v>12.5243618756827</v>
      </c>
      <c r="Q903" s="5">
        <v>0.0</v>
      </c>
      <c r="R903" s="5">
        <v>0.0</v>
      </c>
      <c r="S903" s="5">
        <v>0.0</v>
      </c>
      <c r="T903" s="5">
        <v>223.531719323053</v>
      </c>
    </row>
    <row r="904">
      <c r="A904" s="5">
        <v>902.0</v>
      </c>
      <c r="B904" s="6">
        <v>44887.0</v>
      </c>
      <c r="C904" s="5">
        <v>209.443683370581</v>
      </c>
      <c r="D904" s="5">
        <v>179.908856432618</v>
      </c>
      <c r="E904" s="5">
        <v>262.369927356443</v>
      </c>
      <c r="F904" s="5">
        <v>209.443683370581</v>
      </c>
      <c r="G904" s="5">
        <v>209.443683370581</v>
      </c>
      <c r="H904" s="5">
        <v>13.352524757543</v>
      </c>
      <c r="I904" s="5">
        <v>13.352524757543</v>
      </c>
      <c r="J904" s="5">
        <v>13.352524757543</v>
      </c>
      <c r="K904" s="5">
        <v>0.247324772138921</v>
      </c>
      <c r="L904" s="5">
        <v>0.247324772138921</v>
      </c>
      <c r="M904" s="5">
        <v>0.247324772138921</v>
      </c>
      <c r="N904" s="5">
        <v>13.1051999854041</v>
      </c>
      <c r="O904" s="5">
        <v>13.1051999854041</v>
      </c>
      <c r="P904" s="5">
        <v>13.1051999854041</v>
      </c>
      <c r="Q904" s="5">
        <v>0.0</v>
      </c>
      <c r="R904" s="5">
        <v>0.0</v>
      </c>
      <c r="S904" s="5">
        <v>0.0</v>
      </c>
      <c r="T904" s="5">
        <v>222.796208128125</v>
      </c>
    </row>
    <row r="905">
      <c r="A905" s="5">
        <v>903.0</v>
      </c>
      <c r="B905" s="6">
        <v>44888.0</v>
      </c>
      <c r="C905" s="5">
        <v>209.044588627243</v>
      </c>
      <c r="D905" s="5">
        <v>182.514865435396</v>
      </c>
      <c r="E905" s="5">
        <v>266.188485630863</v>
      </c>
      <c r="F905" s="5">
        <v>209.044588627243</v>
      </c>
      <c r="G905" s="5">
        <v>209.044588627243</v>
      </c>
      <c r="H905" s="5">
        <v>14.2957684842147</v>
      </c>
      <c r="I905" s="5">
        <v>14.2957684842147</v>
      </c>
      <c r="J905" s="5">
        <v>14.2957684842147</v>
      </c>
      <c r="K905" s="5">
        <v>0.608132553627162</v>
      </c>
      <c r="L905" s="5">
        <v>0.608132553627162</v>
      </c>
      <c r="M905" s="5">
        <v>0.608132553627162</v>
      </c>
      <c r="N905" s="5">
        <v>13.6876359305876</v>
      </c>
      <c r="O905" s="5">
        <v>13.6876359305876</v>
      </c>
      <c r="P905" s="5">
        <v>13.6876359305876</v>
      </c>
      <c r="Q905" s="5">
        <v>0.0</v>
      </c>
      <c r="R905" s="5">
        <v>0.0</v>
      </c>
      <c r="S905" s="5">
        <v>0.0</v>
      </c>
      <c r="T905" s="5">
        <v>223.340357111458</v>
      </c>
    </row>
    <row r="906">
      <c r="A906" s="5">
        <v>904.0</v>
      </c>
      <c r="B906" s="6">
        <v>44890.0</v>
      </c>
      <c r="C906" s="5">
        <v>208.246399140566</v>
      </c>
      <c r="D906" s="5">
        <v>180.928348523123</v>
      </c>
      <c r="E906" s="5">
        <v>263.911966530683</v>
      </c>
      <c r="F906" s="5">
        <v>208.246399140566</v>
      </c>
      <c r="G906" s="5">
        <v>208.246399140566</v>
      </c>
      <c r="H906" s="5">
        <v>14.0550246628859</v>
      </c>
      <c r="I906" s="5">
        <v>14.0550246628859</v>
      </c>
      <c r="J906" s="5">
        <v>14.0550246628859</v>
      </c>
      <c r="K906" s="5">
        <v>-0.739640081280636</v>
      </c>
      <c r="L906" s="5">
        <v>-0.739640081280636</v>
      </c>
      <c r="M906" s="5">
        <v>-0.739640081280636</v>
      </c>
      <c r="N906" s="5">
        <v>14.7946647441665</v>
      </c>
      <c r="O906" s="5">
        <v>14.7946647441665</v>
      </c>
      <c r="P906" s="5">
        <v>14.7946647441665</v>
      </c>
      <c r="Q906" s="5">
        <v>0.0</v>
      </c>
      <c r="R906" s="5">
        <v>0.0</v>
      </c>
      <c r="S906" s="5">
        <v>0.0</v>
      </c>
      <c r="T906" s="5">
        <v>222.301423803452</v>
      </c>
    </row>
    <row r="907">
      <c r="A907" s="5">
        <v>905.0</v>
      </c>
      <c r="B907" s="6">
        <v>44893.0</v>
      </c>
      <c r="C907" s="5">
        <v>207.049114910552</v>
      </c>
      <c r="D907" s="5">
        <v>181.470712343743</v>
      </c>
      <c r="E907" s="5">
        <v>263.517622835004</v>
      </c>
      <c r="F907" s="5">
        <v>207.049114910552</v>
      </c>
      <c r="G907" s="5">
        <v>207.049114910552</v>
      </c>
      <c r="H907" s="5">
        <v>17.241436516694</v>
      </c>
      <c r="I907" s="5">
        <v>17.241436516694</v>
      </c>
      <c r="J907" s="5">
        <v>17.241436516694</v>
      </c>
      <c r="K907" s="5">
        <v>1.16457933344946</v>
      </c>
      <c r="L907" s="5">
        <v>1.16457933344946</v>
      </c>
      <c r="M907" s="5">
        <v>1.16457933344946</v>
      </c>
      <c r="N907" s="5">
        <v>16.0768571832446</v>
      </c>
      <c r="O907" s="5">
        <v>16.0768571832446</v>
      </c>
      <c r="P907" s="5">
        <v>16.0768571832446</v>
      </c>
      <c r="Q907" s="5">
        <v>0.0</v>
      </c>
      <c r="R907" s="5">
        <v>0.0</v>
      </c>
      <c r="S907" s="5">
        <v>0.0</v>
      </c>
      <c r="T907" s="5">
        <v>224.290551427246</v>
      </c>
    </row>
    <row r="908">
      <c r="A908" s="5">
        <v>906.0</v>
      </c>
      <c r="B908" s="6">
        <v>44894.0</v>
      </c>
      <c r="C908" s="5">
        <v>206.650020167213</v>
      </c>
      <c r="D908" s="5">
        <v>185.08539058207</v>
      </c>
      <c r="E908" s="5">
        <v>265.53497159271</v>
      </c>
      <c r="F908" s="5">
        <v>206.650020167213</v>
      </c>
      <c r="G908" s="5">
        <v>206.650020167213</v>
      </c>
      <c r="H908" s="5">
        <v>16.5940391510506</v>
      </c>
      <c r="I908" s="5">
        <v>16.5940391510506</v>
      </c>
      <c r="J908" s="5">
        <v>16.5940391510506</v>
      </c>
      <c r="K908" s="5">
        <v>0.247324772139009</v>
      </c>
      <c r="L908" s="5">
        <v>0.247324772139009</v>
      </c>
      <c r="M908" s="5">
        <v>0.247324772139009</v>
      </c>
      <c r="N908" s="5">
        <v>16.3467143789116</v>
      </c>
      <c r="O908" s="5">
        <v>16.3467143789116</v>
      </c>
      <c r="P908" s="5">
        <v>16.3467143789116</v>
      </c>
      <c r="Q908" s="5">
        <v>0.0</v>
      </c>
      <c r="R908" s="5">
        <v>0.0</v>
      </c>
      <c r="S908" s="5">
        <v>0.0</v>
      </c>
      <c r="T908" s="5">
        <v>223.244059318264</v>
      </c>
    </row>
    <row r="909">
      <c r="A909" s="5">
        <v>907.0</v>
      </c>
      <c r="B909" s="6">
        <v>44895.0</v>
      </c>
      <c r="C909" s="5">
        <v>206.250925423875</v>
      </c>
      <c r="D909" s="5">
        <v>183.28232298603</v>
      </c>
      <c r="E909" s="5">
        <v>261.57337468548</v>
      </c>
      <c r="F909" s="5">
        <v>206.250925423875</v>
      </c>
      <c r="G909" s="5">
        <v>206.250925423875</v>
      </c>
      <c r="H909" s="5">
        <v>17.1268274776166</v>
      </c>
      <c r="I909" s="5">
        <v>17.1268274776166</v>
      </c>
      <c r="J909" s="5">
        <v>17.1268274776166</v>
      </c>
      <c r="K909" s="5">
        <v>0.60813255362894</v>
      </c>
      <c r="L909" s="5">
        <v>0.60813255362894</v>
      </c>
      <c r="M909" s="5">
        <v>0.60813255362894</v>
      </c>
      <c r="N909" s="5">
        <v>16.5186949239876</v>
      </c>
      <c r="O909" s="5">
        <v>16.5186949239876</v>
      </c>
      <c r="P909" s="5">
        <v>16.5186949239876</v>
      </c>
      <c r="Q909" s="5">
        <v>0.0</v>
      </c>
      <c r="R909" s="5">
        <v>0.0</v>
      </c>
      <c r="S909" s="5">
        <v>0.0</v>
      </c>
      <c r="T909" s="5">
        <v>223.377752901492</v>
      </c>
    </row>
    <row r="910">
      <c r="A910" s="5">
        <v>908.0</v>
      </c>
      <c r="B910" s="6">
        <v>44896.0</v>
      </c>
      <c r="C910" s="5">
        <v>205.851830680537</v>
      </c>
      <c r="D910" s="5">
        <v>180.731214713523</v>
      </c>
      <c r="E910" s="5">
        <v>263.150149019518</v>
      </c>
      <c r="F910" s="5">
        <v>205.851830680537</v>
      </c>
      <c r="G910" s="5">
        <v>205.851830680537</v>
      </c>
      <c r="H910" s="5">
        <v>16.3591935998321</v>
      </c>
      <c r="I910" s="5">
        <v>16.3591935998321</v>
      </c>
      <c r="J910" s="5">
        <v>16.3591935998321</v>
      </c>
      <c r="K910" s="5">
        <v>-0.225417905352108</v>
      </c>
      <c r="L910" s="5">
        <v>-0.225417905352108</v>
      </c>
      <c r="M910" s="5">
        <v>-0.225417905352108</v>
      </c>
      <c r="N910" s="5">
        <v>16.5846115051842</v>
      </c>
      <c r="O910" s="5">
        <v>16.5846115051842</v>
      </c>
      <c r="P910" s="5">
        <v>16.5846115051842</v>
      </c>
      <c r="Q910" s="5">
        <v>0.0</v>
      </c>
      <c r="R910" s="5">
        <v>0.0</v>
      </c>
      <c r="S910" s="5">
        <v>0.0</v>
      </c>
      <c r="T910" s="5">
        <v>222.211024280369</v>
      </c>
    </row>
    <row r="911">
      <c r="A911" s="5">
        <v>909.0</v>
      </c>
      <c r="B911" s="6">
        <v>44897.0</v>
      </c>
      <c r="C911" s="5">
        <v>205.452735937198</v>
      </c>
      <c r="D911" s="5">
        <v>178.439193715053</v>
      </c>
      <c r="E911" s="5">
        <v>259.497340009248</v>
      </c>
      <c r="F911" s="5">
        <v>205.452735937198</v>
      </c>
      <c r="G911" s="5">
        <v>205.452735937198</v>
      </c>
      <c r="H911" s="5">
        <v>15.7992697044369</v>
      </c>
      <c r="I911" s="5">
        <v>15.7992697044369</v>
      </c>
      <c r="J911" s="5">
        <v>15.7992697044369</v>
      </c>
      <c r="K911" s="5">
        <v>-0.739640081281792</v>
      </c>
      <c r="L911" s="5">
        <v>-0.739640081281792</v>
      </c>
      <c r="M911" s="5">
        <v>-0.739640081281792</v>
      </c>
      <c r="N911" s="5">
        <v>16.5389097857187</v>
      </c>
      <c r="O911" s="5">
        <v>16.5389097857187</v>
      </c>
      <c r="P911" s="5">
        <v>16.5389097857187</v>
      </c>
      <c r="Q911" s="5">
        <v>0.0</v>
      </c>
      <c r="R911" s="5">
        <v>0.0</v>
      </c>
      <c r="S911" s="5">
        <v>0.0</v>
      </c>
      <c r="T911" s="5">
        <v>221.252005641635</v>
      </c>
    </row>
    <row r="912">
      <c r="A912" s="5">
        <v>910.0</v>
      </c>
      <c r="B912" s="6">
        <v>44900.0</v>
      </c>
      <c r="C912" s="5">
        <v>204.255451707183</v>
      </c>
      <c r="D912" s="5">
        <v>182.514607406823</v>
      </c>
      <c r="E912" s="5">
        <v>261.314045295321</v>
      </c>
      <c r="F912" s="5">
        <v>204.255451707183</v>
      </c>
      <c r="G912" s="5">
        <v>204.255451707183</v>
      </c>
      <c r="H912" s="5">
        <v>16.884839045829</v>
      </c>
      <c r="I912" s="5">
        <v>16.884839045829</v>
      </c>
      <c r="J912" s="5">
        <v>16.884839045829</v>
      </c>
      <c r="K912" s="5">
        <v>1.1645793334498</v>
      </c>
      <c r="L912" s="5">
        <v>1.1645793334498</v>
      </c>
      <c r="M912" s="5">
        <v>1.1645793334498</v>
      </c>
      <c r="N912" s="5">
        <v>15.7202597123792</v>
      </c>
      <c r="O912" s="5">
        <v>15.7202597123792</v>
      </c>
      <c r="P912" s="5">
        <v>15.7202597123792</v>
      </c>
      <c r="Q912" s="5">
        <v>0.0</v>
      </c>
      <c r="R912" s="5">
        <v>0.0</v>
      </c>
      <c r="S912" s="5">
        <v>0.0</v>
      </c>
      <c r="T912" s="5">
        <v>221.140290753012</v>
      </c>
    </row>
    <row r="913">
      <c r="A913" s="5">
        <v>911.0</v>
      </c>
      <c r="B913" s="6">
        <v>44901.0</v>
      </c>
      <c r="C913" s="5">
        <v>203.856356963845</v>
      </c>
      <c r="D913" s="5">
        <v>179.519771073646</v>
      </c>
      <c r="E913" s="5">
        <v>260.893136426026</v>
      </c>
      <c r="F913" s="5">
        <v>203.856356963845</v>
      </c>
      <c r="G913" s="5">
        <v>203.856356963845</v>
      </c>
      <c r="H913" s="5">
        <v>15.4787736166573</v>
      </c>
      <c r="I913" s="5">
        <v>15.4787736166573</v>
      </c>
      <c r="J913" s="5">
        <v>15.4787736166573</v>
      </c>
      <c r="K913" s="5">
        <v>0.247324772137675</v>
      </c>
      <c r="L913" s="5">
        <v>0.247324772137675</v>
      </c>
      <c r="M913" s="5">
        <v>0.247324772137675</v>
      </c>
      <c r="N913" s="5">
        <v>15.2314488445196</v>
      </c>
      <c r="O913" s="5">
        <v>15.2314488445196</v>
      </c>
      <c r="P913" s="5">
        <v>15.2314488445196</v>
      </c>
      <c r="Q913" s="5">
        <v>0.0</v>
      </c>
      <c r="R913" s="5">
        <v>0.0</v>
      </c>
      <c r="S913" s="5">
        <v>0.0</v>
      </c>
      <c r="T913" s="5">
        <v>219.335130580502</v>
      </c>
    </row>
    <row r="914">
      <c r="A914" s="5">
        <v>912.0</v>
      </c>
      <c r="B914" s="6">
        <v>44902.0</v>
      </c>
      <c r="C914" s="5">
        <v>203.457262220507</v>
      </c>
      <c r="D914" s="5">
        <v>178.777399197568</v>
      </c>
      <c r="E914" s="5">
        <v>257.972589455607</v>
      </c>
      <c r="F914" s="5">
        <v>203.457262220507</v>
      </c>
      <c r="G914" s="5">
        <v>203.457262220507</v>
      </c>
      <c r="H914" s="5">
        <v>15.2559392843993</v>
      </c>
      <c r="I914" s="5">
        <v>15.2559392843993</v>
      </c>
      <c r="J914" s="5">
        <v>15.2559392843993</v>
      </c>
      <c r="K914" s="5">
        <v>0.608132553625382</v>
      </c>
      <c r="L914" s="5">
        <v>0.608132553625382</v>
      </c>
      <c r="M914" s="5">
        <v>0.608132553625382</v>
      </c>
      <c r="N914" s="5">
        <v>14.6478067307739</v>
      </c>
      <c r="O914" s="5">
        <v>14.6478067307739</v>
      </c>
      <c r="P914" s="5">
        <v>14.6478067307739</v>
      </c>
      <c r="Q914" s="5">
        <v>0.0</v>
      </c>
      <c r="R914" s="5">
        <v>0.0</v>
      </c>
      <c r="S914" s="5">
        <v>0.0</v>
      </c>
      <c r="T914" s="5">
        <v>218.713201504906</v>
      </c>
    </row>
    <row r="915">
      <c r="A915" s="5">
        <v>913.0</v>
      </c>
      <c r="B915" s="6">
        <v>44903.0</v>
      </c>
      <c r="C915" s="5">
        <v>203.058167477168</v>
      </c>
      <c r="D915" s="5">
        <v>174.679238874112</v>
      </c>
      <c r="E915" s="5">
        <v>258.196474978707</v>
      </c>
      <c r="F915" s="5">
        <v>203.058167477168</v>
      </c>
      <c r="G915" s="5">
        <v>203.058167477168</v>
      </c>
      <c r="H915" s="5">
        <v>13.7559947636271</v>
      </c>
      <c r="I915" s="5">
        <v>13.7559947636271</v>
      </c>
      <c r="J915" s="5">
        <v>13.7559947636271</v>
      </c>
      <c r="K915" s="5">
        <v>-0.225417905351687</v>
      </c>
      <c r="L915" s="5">
        <v>-0.225417905351687</v>
      </c>
      <c r="M915" s="5">
        <v>-0.225417905351687</v>
      </c>
      <c r="N915" s="5">
        <v>13.9814126689788</v>
      </c>
      <c r="O915" s="5">
        <v>13.9814126689788</v>
      </c>
      <c r="P915" s="5">
        <v>13.9814126689788</v>
      </c>
      <c r="Q915" s="5">
        <v>0.0</v>
      </c>
      <c r="R915" s="5">
        <v>0.0</v>
      </c>
      <c r="S915" s="5">
        <v>0.0</v>
      </c>
      <c r="T915" s="5">
        <v>216.814162240795</v>
      </c>
    </row>
    <row r="916">
      <c r="A916" s="5">
        <v>914.0</v>
      </c>
      <c r="B916" s="6">
        <v>44904.0</v>
      </c>
      <c r="C916" s="5">
        <v>202.65907273383</v>
      </c>
      <c r="D916" s="5">
        <v>174.939229620609</v>
      </c>
      <c r="E916" s="5">
        <v>256.692290799307</v>
      </c>
      <c r="F916" s="5">
        <v>202.65907273383</v>
      </c>
      <c r="G916" s="5">
        <v>202.65907273383</v>
      </c>
      <c r="H916" s="5">
        <v>12.5071454300446</v>
      </c>
      <c r="I916" s="5">
        <v>12.5071454300446</v>
      </c>
      <c r="J916" s="5">
        <v>12.5071454300446</v>
      </c>
      <c r="K916" s="5">
        <v>-0.739640081280886</v>
      </c>
      <c r="L916" s="5">
        <v>-0.739640081280886</v>
      </c>
      <c r="M916" s="5">
        <v>-0.739640081280886</v>
      </c>
      <c r="N916" s="5">
        <v>13.2467855113254</v>
      </c>
      <c r="O916" s="5">
        <v>13.2467855113254</v>
      </c>
      <c r="P916" s="5">
        <v>13.2467855113254</v>
      </c>
      <c r="Q916" s="5">
        <v>0.0</v>
      </c>
      <c r="R916" s="5">
        <v>0.0</v>
      </c>
      <c r="S916" s="5">
        <v>0.0</v>
      </c>
      <c r="T916" s="5">
        <v>215.166218163875</v>
      </c>
    </row>
    <row r="917">
      <c r="A917" s="5">
        <v>915.0</v>
      </c>
      <c r="B917" s="6">
        <v>44907.0</v>
      </c>
      <c r="C917" s="5">
        <v>201.461788503815</v>
      </c>
      <c r="D917" s="5">
        <v>172.447600736656</v>
      </c>
      <c r="E917" s="5">
        <v>253.416023640483</v>
      </c>
      <c r="F917" s="5">
        <v>201.461788503815</v>
      </c>
      <c r="G917" s="5">
        <v>201.461788503815</v>
      </c>
      <c r="H917" s="5">
        <v>11.9718571633316</v>
      </c>
      <c r="I917" s="5">
        <v>11.9718571633316</v>
      </c>
      <c r="J917" s="5">
        <v>11.9718571633316</v>
      </c>
      <c r="K917" s="5">
        <v>1.16457933345003</v>
      </c>
      <c r="L917" s="5">
        <v>1.16457933345003</v>
      </c>
      <c r="M917" s="5">
        <v>1.16457933345003</v>
      </c>
      <c r="N917" s="5">
        <v>10.8072778298816</v>
      </c>
      <c r="O917" s="5">
        <v>10.8072778298816</v>
      </c>
      <c r="P917" s="5">
        <v>10.8072778298816</v>
      </c>
      <c r="Q917" s="5">
        <v>0.0</v>
      </c>
      <c r="R917" s="5">
        <v>0.0</v>
      </c>
      <c r="S917" s="5">
        <v>0.0</v>
      </c>
      <c r="T917" s="5">
        <v>213.433645667147</v>
      </c>
    </row>
    <row r="918">
      <c r="A918" s="5">
        <v>916.0</v>
      </c>
      <c r="B918" s="6">
        <v>44908.0</v>
      </c>
      <c r="C918" s="5">
        <v>201.062693760477</v>
      </c>
      <c r="D918" s="5">
        <v>169.315297070753</v>
      </c>
      <c r="E918" s="5">
        <v>250.88590654459</v>
      </c>
      <c r="F918" s="5">
        <v>201.062693760477</v>
      </c>
      <c r="G918" s="5">
        <v>201.062693760477</v>
      </c>
      <c r="H918" s="5">
        <v>10.2271234754777</v>
      </c>
      <c r="I918" s="5">
        <v>10.2271234754777</v>
      </c>
      <c r="J918" s="5">
        <v>10.2271234754777</v>
      </c>
      <c r="K918" s="5">
        <v>0.247324772137763</v>
      </c>
      <c r="L918" s="5">
        <v>0.247324772137763</v>
      </c>
      <c r="M918" s="5">
        <v>0.247324772137763</v>
      </c>
      <c r="N918" s="5">
        <v>9.97979870334003</v>
      </c>
      <c r="O918" s="5">
        <v>9.97979870334003</v>
      </c>
      <c r="P918" s="5">
        <v>9.97979870334003</v>
      </c>
      <c r="Q918" s="5">
        <v>0.0</v>
      </c>
      <c r="R918" s="5">
        <v>0.0</v>
      </c>
      <c r="S918" s="5">
        <v>0.0</v>
      </c>
      <c r="T918" s="5">
        <v>211.289817235954</v>
      </c>
    </row>
    <row r="919">
      <c r="A919" s="5">
        <v>917.0</v>
      </c>
      <c r="B919" s="6">
        <v>44909.0</v>
      </c>
      <c r="C919" s="5">
        <v>200.663599017138</v>
      </c>
      <c r="D919" s="5">
        <v>170.924643345633</v>
      </c>
      <c r="E919" s="5">
        <v>249.547713515135</v>
      </c>
      <c r="F919" s="5">
        <v>200.663599017138</v>
      </c>
      <c r="G919" s="5">
        <v>200.663599017138</v>
      </c>
      <c r="H919" s="5">
        <v>9.7867581866324</v>
      </c>
      <c r="I919" s="5">
        <v>9.7867581866324</v>
      </c>
      <c r="J919" s="5">
        <v>9.7867581866324</v>
      </c>
      <c r="K919" s="5">
        <v>0.608132553627161</v>
      </c>
      <c r="L919" s="5">
        <v>0.608132553627161</v>
      </c>
      <c r="M919" s="5">
        <v>0.608132553627161</v>
      </c>
      <c r="N919" s="5">
        <v>9.17862563300524</v>
      </c>
      <c r="O919" s="5">
        <v>9.17862563300524</v>
      </c>
      <c r="P919" s="5">
        <v>9.17862563300524</v>
      </c>
      <c r="Q919" s="5">
        <v>0.0</v>
      </c>
      <c r="R919" s="5">
        <v>0.0</v>
      </c>
      <c r="S919" s="5">
        <v>0.0</v>
      </c>
      <c r="T919" s="5">
        <v>210.450357203771</v>
      </c>
    </row>
    <row r="920">
      <c r="A920" s="5">
        <v>918.0</v>
      </c>
      <c r="B920" s="6">
        <v>44910.0</v>
      </c>
      <c r="C920" s="5">
        <v>200.2645042738</v>
      </c>
      <c r="D920" s="5">
        <v>167.375139267375</v>
      </c>
      <c r="E920" s="5">
        <v>248.788403979029</v>
      </c>
      <c r="F920" s="5">
        <v>200.2645042738</v>
      </c>
      <c r="G920" s="5">
        <v>200.2645042738</v>
      </c>
      <c r="H920" s="5">
        <v>8.19807101038762</v>
      </c>
      <c r="I920" s="5">
        <v>8.19807101038762</v>
      </c>
      <c r="J920" s="5">
        <v>8.19807101038762</v>
      </c>
      <c r="K920" s="5">
        <v>-0.225417905345954</v>
      </c>
      <c r="L920" s="5">
        <v>-0.225417905345954</v>
      </c>
      <c r="M920" s="5">
        <v>-0.225417905345954</v>
      </c>
      <c r="N920" s="5">
        <v>8.42348891573357</v>
      </c>
      <c r="O920" s="5">
        <v>8.42348891573357</v>
      </c>
      <c r="P920" s="5">
        <v>8.42348891573357</v>
      </c>
      <c r="Q920" s="5">
        <v>0.0</v>
      </c>
      <c r="R920" s="5">
        <v>0.0</v>
      </c>
      <c r="S920" s="5">
        <v>0.0</v>
      </c>
      <c r="T920" s="5">
        <v>208.462575284188</v>
      </c>
    </row>
    <row r="921">
      <c r="A921" s="5">
        <v>919.0</v>
      </c>
      <c r="B921" s="6">
        <v>44911.0</v>
      </c>
      <c r="C921" s="5">
        <v>199.865409530462</v>
      </c>
      <c r="D921" s="5">
        <v>164.166186422129</v>
      </c>
      <c r="E921" s="5">
        <v>248.816733839513</v>
      </c>
      <c r="F921" s="5">
        <v>199.865409530462</v>
      </c>
      <c r="G921" s="5">
        <v>199.865409530462</v>
      </c>
      <c r="H921" s="5">
        <v>6.99347095460178</v>
      </c>
      <c r="I921" s="5">
        <v>6.99347095460178</v>
      </c>
      <c r="J921" s="5">
        <v>6.99347095460178</v>
      </c>
      <c r="K921" s="5">
        <v>-0.739640081282042</v>
      </c>
      <c r="L921" s="5">
        <v>-0.739640081282042</v>
      </c>
      <c r="M921" s="5">
        <v>-0.739640081282042</v>
      </c>
      <c r="N921" s="5">
        <v>7.73311103588383</v>
      </c>
      <c r="O921" s="5">
        <v>7.73311103588383</v>
      </c>
      <c r="P921" s="5">
        <v>7.73311103588383</v>
      </c>
      <c r="Q921" s="5">
        <v>0.0</v>
      </c>
      <c r="R921" s="5">
        <v>0.0</v>
      </c>
      <c r="S921" s="5">
        <v>0.0</v>
      </c>
      <c r="T921" s="5">
        <v>206.858880485063</v>
      </c>
    </row>
    <row r="922">
      <c r="A922" s="5">
        <v>920.0</v>
      </c>
      <c r="B922" s="6">
        <v>44914.0</v>
      </c>
      <c r="C922" s="5">
        <v>198.668125300447</v>
      </c>
      <c r="D922" s="5">
        <v>165.780038912422</v>
      </c>
      <c r="E922" s="5">
        <v>246.479674244521</v>
      </c>
      <c r="F922" s="5">
        <v>198.668125300447</v>
      </c>
      <c r="G922" s="5">
        <v>198.668125300447</v>
      </c>
      <c r="H922" s="5">
        <v>7.37628149196286</v>
      </c>
      <c r="I922" s="5">
        <v>7.37628149196286</v>
      </c>
      <c r="J922" s="5">
        <v>7.37628149196286</v>
      </c>
      <c r="K922" s="5">
        <v>1.16457933345047</v>
      </c>
      <c r="L922" s="5">
        <v>1.16457933345047</v>
      </c>
      <c r="M922" s="5">
        <v>1.16457933345047</v>
      </c>
      <c r="N922" s="5">
        <v>6.21170215851239</v>
      </c>
      <c r="O922" s="5">
        <v>6.21170215851239</v>
      </c>
      <c r="P922" s="5">
        <v>6.21170215851239</v>
      </c>
      <c r="Q922" s="5">
        <v>0.0</v>
      </c>
      <c r="R922" s="5">
        <v>0.0</v>
      </c>
      <c r="S922" s="5">
        <v>0.0</v>
      </c>
      <c r="T922" s="5">
        <v>206.044406792409</v>
      </c>
    </row>
    <row r="923">
      <c r="A923" s="5">
        <v>921.0</v>
      </c>
      <c r="B923" s="6">
        <v>44915.0</v>
      </c>
      <c r="C923" s="5">
        <v>198.269030557108</v>
      </c>
      <c r="D923" s="5">
        <v>163.374423220635</v>
      </c>
      <c r="E923" s="5">
        <v>242.996617448782</v>
      </c>
      <c r="F923" s="5">
        <v>198.269030557108</v>
      </c>
      <c r="G923" s="5">
        <v>198.269030557108</v>
      </c>
      <c r="H923" s="5">
        <v>6.17694092532207</v>
      </c>
      <c r="I923" s="5">
        <v>6.17694092532207</v>
      </c>
      <c r="J923" s="5">
        <v>6.17694092532207</v>
      </c>
      <c r="K923" s="5">
        <v>0.247324772139149</v>
      </c>
      <c r="L923" s="5">
        <v>0.247324772139149</v>
      </c>
      <c r="M923" s="5">
        <v>0.247324772139149</v>
      </c>
      <c r="N923" s="5">
        <v>5.92961615318292</v>
      </c>
      <c r="O923" s="5">
        <v>5.92961615318292</v>
      </c>
      <c r="P923" s="5">
        <v>5.92961615318292</v>
      </c>
      <c r="Q923" s="5">
        <v>0.0</v>
      </c>
      <c r="R923" s="5">
        <v>0.0</v>
      </c>
      <c r="S923" s="5">
        <v>0.0</v>
      </c>
      <c r="T923" s="5">
        <v>204.44597148243</v>
      </c>
    </row>
    <row r="924">
      <c r="A924" s="5">
        <v>922.0</v>
      </c>
      <c r="B924" s="6">
        <v>44916.0</v>
      </c>
      <c r="C924" s="5">
        <v>197.86993581377</v>
      </c>
      <c r="D924" s="5">
        <v>164.783442126721</v>
      </c>
      <c r="E924" s="5">
        <v>241.318576544043</v>
      </c>
      <c r="F924" s="5">
        <v>197.86993581377</v>
      </c>
      <c r="G924" s="5">
        <v>197.86993581377</v>
      </c>
      <c r="H924" s="5">
        <v>6.38180812954804</v>
      </c>
      <c r="I924" s="5">
        <v>6.38180812954804</v>
      </c>
      <c r="J924" s="5">
        <v>6.38180812954804</v>
      </c>
      <c r="K924" s="5">
        <v>0.608132553626271</v>
      </c>
      <c r="L924" s="5">
        <v>0.608132553626271</v>
      </c>
      <c r="M924" s="5">
        <v>0.608132553626271</v>
      </c>
      <c r="N924" s="5">
        <v>5.77367557592177</v>
      </c>
      <c r="O924" s="5">
        <v>5.77367557592177</v>
      </c>
      <c r="P924" s="5">
        <v>5.77367557592177</v>
      </c>
      <c r="Q924" s="5">
        <v>0.0</v>
      </c>
      <c r="R924" s="5">
        <v>0.0</v>
      </c>
      <c r="S924" s="5">
        <v>0.0</v>
      </c>
      <c r="T924" s="5">
        <v>204.251743943318</v>
      </c>
    </row>
    <row r="925">
      <c r="A925" s="5">
        <v>923.0</v>
      </c>
      <c r="B925" s="6">
        <v>44917.0</v>
      </c>
      <c r="C925" s="5">
        <v>197.470841070432</v>
      </c>
      <c r="D925" s="5">
        <v>157.638833964135</v>
      </c>
      <c r="E925" s="5">
        <v>241.621747563056</v>
      </c>
      <c r="F925" s="5">
        <v>197.470841070432</v>
      </c>
      <c r="G925" s="5">
        <v>197.470841070432</v>
      </c>
      <c r="H925" s="5">
        <v>5.52168341356403</v>
      </c>
      <c r="I925" s="5">
        <v>5.52168341356403</v>
      </c>
      <c r="J925" s="5">
        <v>5.52168341356403</v>
      </c>
      <c r="K925" s="5">
        <v>-0.225417905348919</v>
      </c>
      <c r="L925" s="5">
        <v>-0.225417905348919</v>
      </c>
      <c r="M925" s="5">
        <v>-0.225417905348919</v>
      </c>
      <c r="N925" s="5">
        <v>5.74710131891295</v>
      </c>
      <c r="O925" s="5">
        <v>5.74710131891295</v>
      </c>
      <c r="P925" s="5">
        <v>5.74710131891295</v>
      </c>
      <c r="Q925" s="5">
        <v>0.0</v>
      </c>
      <c r="R925" s="5">
        <v>0.0</v>
      </c>
      <c r="S925" s="5">
        <v>0.0</v>
      </c>
      <c r="T925" s="5">
        <v>202.992524483996</v>
      </c>
    </row>
    <row r="926">
      <c r="A926" s="5">
        <v>924.0</v>
      </c>
      <c r="B926" s="6">
        <v>44918.0</v>
      </c>
      <c r="C926" s="5">
        <v>197.071746327093</v>
      </c>
      <c r="D926" s="5">
        <v>158.507965991358</v>
      </c>
      <c r="E926" s="5">
        <v>245.237918283033</v>
      </c>
      <c r="F926" s="5">
        <v>197.071746327093</v>
      </c>
      <c r="G926" s="5">
        <v>197.071746327093</v>
      </c>
      <c r="H926" s="5">
        <v>5.10995104582725</v>
      </c>
      <c r="I926" s="5">
        <v>5.10995104582725</v>
      </c>
      <c r="J926" s="5">
        <v>5.10995104582725</v>
      </c>
      <c r="K926" s="5">
        <v>-0.739640081279765</v>
      </c>
      <c r="L926" s="5">
        <v>-0.739640081279765</v>
      </c>
      <c r="M926" s="5">
        <v>-0.739640081279765</v>
      </c>
      <c r="N926" s="5">
        <v>5.84959112710702</v>
      </c>
      <c r="O926" s="5">
        <v>5.84959112710702</v>
      </c>
      <c r="P926" s="5">
        <v>5.84959112710702</v>
      </c>
      <c r="Q926" s="5">
        <v>0.0</v>
      </c>
      <c r="R926" s="5">
        <v>0.0</v>
      </c>
      <c r="S926" s="5">
        <v>0.0</v>
      </c>
      <c r="T926" s="5">
        <v>202.181697372921</v>
      </c>
    </row>
    <row r="927">
      <c r="A927" s="5">
        <v>925.0</v>
      </c>
      <c r="B927" s="6">
        <v>44922.0</v>
      </c>
      <c r="C927" s="5">
        <v>195.47536735374</v>
      </c>
      <c r="D927" s="5">
        <v>160.737465514938</v>
      </c>
      <c r="E927" s="5">
        <v>242.951635989378</v>
      </c>
      <c r="F927" s="5">
        <v>195.47536735374</v>
      </c>
      <c r="G927" s="5">
        <v>195.47536735374</v>
      </c>
      <c r="H927" s="5">
        <v>7.66921513177573</v>
      </c>
      <c r="I927" s="5">
        <v>7.66921513177573</v>
      </c>
      <c r="J927" s="5">
        <v>7.66921513177573</v>
      </c>
      <c r="K927" s="5">
        <v>0.247324772139237</v>
      </c>
      <c r="L927" s="5">
        <v>0.247324772139237</v>
      </c>
      <c r="M927" s="5">
        <v>0.247324772139237</v>
      </c>
      <c r="N927" s="5">
        <v>7.42189035963649</v>
      </c>
      <c r="O927" s="5">
        <v>7.42189035963649</v>
      </c>
      <c r="P927" s="5">
        <v>7.42189035963649</v>
      </c>
      <c r="Q927" s="5">
        <v>0.0</v>
      </c>
      <c r="R927" s="5">
        <v>0.0</v>
      </c>
      <c r="S927" s="5">
        <v>0.0</v>
      </c>
      <c r="T927" s="5">
        <v>203.144582485516</v>
      </c>
    </row>
    <row r="928">
      <c r="A928" s="5">
        <v>926.0</v>
      </c>
      <c r="B928" s="6">
        <v>44923.0</v>
      </c>
      <c r="C928" s="5">
        <v>195.076272610402</v>
      </c>
      <c r="D928" s="5">
        <v>162.960485146907</v>
      </c>
      <c r="E928" s="5">
        <v>240.847288200307</v>
      </c>
      <c r="F928" s="5">
        <v>195.076272610402</v>
      </c>
      <c r="G928" s="5">
        <v>195.076272610402</v>
      </c>
      <c r="H928" s="5">
        <v>8.65336198929398</v>
      </c>
      <c r="I928" s="5">
        <v>8.65336198929398</v>
      </c>
      <c r="J928" s="5">
        <v>8.65336198929398</v>
      </c>
      <c r="K928" s="5">
        <v>0.60813255362805</v>
      </c>
      <c r="L928" s="5">
        <v>0.60813255362805</v>
      </c>
      <c r="M928" s="5">
        <v>0.60813255362805</v>
      </c>
      <c r="N928" s="5">
        <v>8.04522943566593</v>
      </c>
      <c r="O928" s="5">
        <v>8.04522943566593</v>
      </c>
      <c r="P928" s="5">
        <v>8.04522943566593</v>
      </c>
      <c r="Q928" s="5">
        <v>0.0</v>
      </c>
      <c r="R928" s="5">
        <v>0.0</v>
      </c>
      <c r="S928" s="5">
        <v>0.0</v>
      </c>
      <c r="T928" s="5">
        <v>203.729634599696</v>
      </c>
    </row>
    <row r="929">
      <c r="A929" s="5">
        <v>927.0</v>
      </c>
      <c r="B929" s="6">
        <v>44924.0</v>
      </c>
      <c r="C929" s="5">
        <v>195.190095890537</v>
      </c>
      <c r="D929" s="5">
        <v>164.719037273517</v>
      </c>
      <c r="E929" s="5">
        <v>243.982093439963</v>
      </c>
      <c r="F929" s="5">
        <v>195.190095890537</v>
      </c>
      <c r="G929" s="5">
        <v>195.190095890537</v>
      </c>
      <c r="H929" s="5">
        <v>8.50153150577464</v>
      </c>
      <c r="I929" s="5">
        <v>8.50153150577464</v>
      </c>
      <c r="J929" s="5">
        <v>8.50153150577464</v>
      </c>
      <c r="K929" s="5">
        <v>-0.225417905348498</v>
      </c>
      <c r="L929" s="5">
        <v>-0.225417905348498</v>
      </c>
      <c r="M929" s="5">
        <v>-0.225417905348498</v>
      </c>
      <c r="N929" s="5">
        <v>8.72694941112313</v>
      </c>
      <c r="O929" s="5">
        <v>8.72694941112313</v>
      </c>
      <c r="P929" s="5">
        <v>8.72694941112313</v>
      </c>
      <c r="Q929" s="5">
        <v>0.0</v>
      </c>
      <c r="R929" s="5">
        <v>0.0</v>
      </c>
      <c r="S929" s="5">
        <v>0.0</v>
      </c>
      <c r="T929" s="5">
        <v>203.691627396311</v>
      </c>
    </row>
    <row r="930">
      <c r="A930" s="5">
        <v>928.0</v>
      </c>
      <c r="B930" s="6">
        <v>44925.0</v>
      </c>
      <c r="C930" s="5">
        <v>195.303919170672</v>
      </c>
      <c r="D930" s="5">
        <v>164.485541205542</v>
      </c>
      <c r="E930" s="5">
        <v>244.954997551249</v>
      </c>
      <c r="F930" s="5">
        <v>195.303919170672</v>
      </c>
      <c r="G930" s="5">
        <v>195.303919170672</v>
      </c>
      <c r="H930" s="5">
        <v>8.70694190577046</v>
      </c>
      <c r="I930" s="5">
        <v>8.70694190577046</v>
      </c>
      <c r="J930" s="5">
        <v>8.70694190577046</v>
      </c>
      <c r="K930" s="5">
        <v>-0.739640081284353</v>
      </c>
      <c r="L930" s="5">
        <v>-0.739640081284353</v>
      </c>
      <c r="M930" s="5">
        <v>-0.739640081284353</v>
      </c>
      <c r="N930" s="5">
        <v>9.44658198705482</v>
      </c>
      <c r="O930" s="5">
        <v>9.44658198705482</v>
      </c>
      <c r="P930" s="5">
        <v>9.44658198705482</v>
      </c>
      <c r="Q930" s="5">
        <v>0.0</v>
      </c>
      <c r="R930" s="5">
        <v>0.0</v>
      </c>
      <c r="S930" s="5">
        <v>0.0</v>
      </c>
      <c r="T930" s="5">
        <v>204.010861076442</v>
      </c>
    </row>
    <row r="931">
      <c r="A931" s="5">
        <v>929.0</v>
      </c>
      <c r="B931" s="6">
        <v>44929.0</v>
      </c>
      <c r="C931" s="5">
        <v>195.759212291212</v>
      </c>
      <c r="D931" s="5">
        <v>167.367371121491</v>
      </c>
      <c r="E931" s="5">
        <v>247.797953097135</v>
      </c>
      <c r="F931" s="5">
        <v>195.759212291212</v>
      </c>
      <c r="G931" s="5">
        <v>195.759212291212</v>
      </c>
      <c r="H931" s="5">
        <v>12.5120598942866</v>
      </c>
      <c r="I931" s="5">
        <v>12.5120598942866</v>
      </c>
      <c r="J931" s="5">
        <v>12.5120598942866</v>
      </c>
      <c r="K931" s="5">
        <v>0.247324772137903</v>
      </c>
      <c r="L931" s="5">
        <v>0.247324772137903</v>
      </c>
      <c r="M931" s="5">
        <v>0.247324772137903</v>
      </c>
      <c r="N931" s="5">
        <v>12.2647351221487</v>
      </c>
      <c r="O931" s="5">
        <v>12.2647351221487</v>
      </c>
      <c r="P931" s="5">
        <v>12.2647351221487</v>
      </c>
      <c r="Q931" s="5">
        <v>0.0</v>
      </c>
      <c r="R931" s="5">
        <v>0.0</v>
      </c>
      <c r="S931" s="5">
        <v>0.0</v>
      </c>
      <c r="T931" s="5">
        <v>208.271272185498</v>
      </c>
    </row>
    <row r="932">
      <c r="A932" s="5">
        <v>930.0</v>
      </c>
      <c r="B932" s="6">
        <v>44930.0</v>
      </c>
      <c r="C932" s="5">
        <v>195.873035571347</v>
      </c>
      <c r="D932" s="5">
        <v>167.734562455393</v>
      </c>
      <c r="E932" s="5">
        <v>250.364082159361</v>
      </c>
      <c r="F932" s="5">
        <v>195.873035571347</v>
      </c>
      <c r="G932" s="5">
        <v>195.873035571347</v>
      </c>
      <c r="H932" s="5">
        <v>13.4534384787542</v>
      </c>
      <c r="I932" s="5">
        <v>13.4534384787542</v>
      </c>
      <c r="J932" s="5">
        <v>13.4534384787542</v>
      </c>
      <c r="K932" s="5">
        <v>0.608132553627161</v>
      </c>
      <c r="L932" s="5">
        <v>0.608132553627161</v>
      </c>
      <c r="M932" s="5">
        <v>0.608132553627161</v>
      </c>
      <c r="N932" s="5">
        <v>12.845305925127</v>
      </c>
      <c r="O932" s="5">
        <v>12.845305925127</v>
      </c>
      <c r="P932" s="5">
        <v>12.845305925127</v>
      </c>
      <c r="Q932" s="5">
        <v>0.0</v>
      </c>
      <c r="R932" s="5">
        <v>0.0</v>
      </c>
      <c r="S932" s="5">
        <v>0.0</v>
      </c>
      <c r="T932" s="5">
        <v>209.326474050101</v>
      </c>
    </row>
    <row r="933">
      <c r="A933" s="5">
        <v>931.0</v>
      </c>
      <c r="B933" s="6">
        <v>44931.0</v>
      </c>
      <c r="C933" s="5">
        <v>195.986858851482</v>
      </c>
      <c r="D933" s="5">
        <v>165.414573460484</v>
      </c>
      <c r="E933" s="5">
        <v>253.710071216151</v>
      </c>
      <c r="F933" s="5">
        <v>195.986858851482</v>
      </c>
      <c r="G933" s="5">
        <v>195.986858851482</v>
      </c>
      <c r="H933" s="5">
        <v>13.1111494047286</v>
      </c>
      <c r="I933" s="5">
        <v>13.1111494047286</v>
      </c>
      <c r="J933" s="5">
        <v>13.1111494047286</v>
      </c>
      <c r="K933" s="5">
        <v>-0.225417905349537</v>
      </c>
      <c r="L933" s="5">
        <v>-0.225417905349537</v>
      </c>
      <c r="M933" s="5">
        <v>-0.225417905349537</v>
      </c>
      <c r="N933" s="5">
        <v>13.3365673100781</v>
      </c>
      <c r="O933" s="5">
        <v>13.3365673100781</v>
      </c>
      <c r="P933" s="5">
        <v>13.3365673100781</v>
      </c>
      <c r="Q933" s="5">
        <v>0.0</v>
      </c>
      <c r="R933" s="5">
        <v>0.0</v>
      </c>
      <c r="S933" s="5">
        <v>0.0</v>
      </c>
      <c r="T933" s="5">
        <v>209.09800825621</v>
      </c>
    </row>
    <row r="934">
      <c r="A934" s="5">
        <v>932.0</v>
      </c>
      <c r="B934" s="6">
        <v>44932.0</v>
      </c>
      <c r="C934" s="5">
        <v>196.100682131617</v>
      </c>
      <c r="D934" s="5">
        <v>165.26273230216</v>
      </c>
      <c r="E934" s="5">
        <v>246.467521380113</v>
      </c>
      <c r="F934" s="5">
        <v>196.100682131617</v>
      </c>
      <c r="G934" s="5">
        <v>196.100682131617</v>
      </c>
      <c r="H934" s="5">
        <v>12.9825462438151</v>
      </c>
      <c r="I934" s="5">
        <v>12.9825462438151</v>
      </c>
      <c r="J934" s="5">
        <v>12.9825462438151</v>
      </c>
      <c r="K934" s="5">
        <v>-0.739640081282076</v>
      </c>
      <c r="L934" s="5">
        <v>-0.739640081282076</v>
      </c>
      <c r="M934" s="5">
        <v>-0.739640081282076</v>
      </c>
      <c r="N934" s="5">
        <v>13.7221863250972</v>
      </c>
      <c r="O934" s="5">
        <v>13.7221863250972</v>
      </c>
      <c r="P934" s="5">
        <v>13.7221863250972</v>
      </c>
      <c r="Q934" s="5">
        <v>0.0</v>
      </c>
      <c r="R934" s="5">
        <v>0.0</v>
      </c>
      <c r="S934" s="5">
        <v>0.0</v>
      </c>
      <c r="T934" s="5">
        <v>209.083228375432</v>
      </c>
    </row>
    <row r="935">
      <c r="A935" s="5">
        <v>933.0</v>
      </c>
      <c r="B935" s="6">
        <v>44935.0</v>
      </c>
      <c r="C935" s="5">
        <v>196.442151972022</v>
      </c>
      <c r="D935" s="5">
        <v>171.523526818902</v>
      </c>
      <c r="E935" s="5">
        <v>249.734039707044</v>
      </c>
      <c r="F935" s="5">
        <v>196.442151972022</v>
      </c>
      <c r="G935" s="5">
        <v>196.442151972022</v>
      </c>
      <c r="H935" s="5">
        <v>15.2911592281662</v>
      </c>
      <c r="I935" s="5">
        <v>15.2911592281662</v>
      </c>
      <c r="J935" s="5">
        <v>15.2911592281662</v>
      </c>
      <c r="K935" s="5">
        <v>1.16457933345127</v>
      </c>
      <c r="L935" s="5">
        <v>1.16457933345127</v>
      </c>
      <c r="M935" s="5">
        <v>1.16457933345127</v>
      </c>
      <c r="N935" s="5">
        <v>14.1265798947149</v>
      </c>
      <c r="O935" s="5">
        <v>14.1265798947149</v>
      </c>
      <c r="P935" s="5">
        <v>14.1265798947149</v>
      </c>
      <c r="Q935" s="5">
        <v>0.0</v>
      </c>
      <c r="R935" s="5">
        <v>0.0</v>
      </c>
      <c r="S935" s="5">
        <v>0.0</v>
      </c>
      <c r="T935" s="5">
        <v>211.733311200188</v>
      </c>
    </row>
    <row r="936">
      <c r="A936" s="5">
        <v>934.0</v>
      </c>
      <c r="B936" s="6">
        <v>44936.0</v>
      </c>
      <c r="C936" s="5">
        <v>196.555975252157</v>
      </c>
      <c r="D936" s="5">
        <v>170.258576748892</v>
      </c>
      <c r="E936" s="5">
        <v>250.817882398498</v>
      </c>
      <c r="F936" s="5">
        <v>196.555975252157</v>
      </c>
      <c r="G936" s="5">
        <v>196.555975252157</v>
      </c>
      <c r="H936" s="5">
        <v>14.2356582095338</v>
      </c>
      <c r="I936" s="5">
        <v>14.2356582095338</v>
      </c>
      <c r="J936" s="5">
        <v>14.2356582095338</v>
      </c>
      <c r="K936" s="5">
        <v>0.247324772139414</v>
      </c>
      <c r="L936" s="5">
        <v>0.247324772139414</v>
      </c>
      <c r="M936" s="5">
        <v>0.247324772139414</v>
      </c>
      <c r="N936" s="5">
        <v>13.9883334373944</v>
      </c>
      <c r="O936" s="5">
        <v>13.9883334373944</v>
      </c>
      <c r="P936" s="5">
        <v>13.9883334373944</v>
      </c>
      <c r="Q936" s="5">
        <v>0.0</v>
      </c>
      <c r="R936" s="5">
        <v>0.0</v>
      </c>
      <c r="S936" s="5">
        <v>0.0</v>
      </c>
      <c r="T936" s="5">
        <v>210.791633461691</v>
      </c>
    </row>
    <row r="937">
      <c r="A937" s="5">
        <v>935.0</v>
      </c>
      <c r="B937" s="6">
        <v>44937.0</v>
      </c>
      <c r="C937" s="5">
        <v>196.669798532292</v>
      </c>
      <c r="D937" s="5">
        <v>171.638580578951</v>
      </c>
      <c r="E937" s="5">
        <v>252.813075872464</v>
      </c>
      <c r="F937" s="5">
        <v>196.669798532292</v>
      </c>
      <c r="G937" s="5">
        <v>196.669798532292</v>
      </c>
      <c r="H937" s="5">
        <v>14.3200038462491</v>
      </c>
      <c r="I937" s="5">
        <v>14.3200038462491</v>
      </c>
      <c r="J937" s="5">
        <v>14.3200038462491</v>
      </c>
      <c r="K937" s="5">
        <v>0.608132553625157</v>
      </c>
      <c r="L937" s="5">
        <v>0.608132553625157</v>
      </c>
      <c r="M937" s="5">
        <v>0.608132553625157</v>
      </c>
      <c r="N937" s="5">
        <v>13.7118712926239</v>
      </c>
      <c r="O937" s="5">
        <v>13.7118712926239</v>
      </c>
      <c r="P937" s="5">
        <v>13.7118712926239</v>
      </c>
      <c r="Q937" s="5">
        <v>0.0</v>
      </c>
      <c r="R937" s="5">
        <v>0.0</v>
      </c>
      <c r="S937" s="5">
        <v>0.0</v>
      </c>
      <c r="T937" s="5">
        <v>210.989802378541</v>
      </c>
    </row>
    <row r="938">
      <c r="A938" s="5">
        <v>936.0</v>
      </c>
      <c r="B938" s="6">
        <v>44938.0</v>
      </c>
      <c r="C938" s="5">
        <v>196.783621812427</v>
      </c>
      <c r="D938" s="5">
        <v>167.858033756896</v>
      </c>
      <c r="E938" s="5">
        <v>249.576759490136</v>
      </c>
      <c r="F938" s="5">
        <v>196.783621812427</v>
      </c>
      <c r="G938" s="5">
        <v>196.783621812427</v>
      </c>
      <c r="H938" s="5">
        <v>13.0765766299192</v>
      </c>
      <c r="I938" s="5">
        <v>13.0765766299192</v>
      </c>
      <c r="J938" s="5">
        <v>13.0765766299192</v>
      </c>
      <c r="K938" s="5">
        <v>-0.22541790534573</v>
      </c>
      <c r="L938" s="5">
        <v>-0.22541790534573</v>
      </c>
      <c r="M938" s="5">
        <v>-0.22541790534573</v>
      </c>
      <c r="N938" s="5">
        <v>13.3019945352649</v>
      </c>
      <c r="O938" s="5">
        <v>13.3019945352649</v>
      </c>
      <c r="P938" s="5">
        <v>13.3019945352649</v>
      </c>
      <c r="Q938" s="5">
        <v>0.0</v>
      </c>
      <c r="R938" s="5">
        <v>0.0</v>
      </c>
      <c r="S938" s="5">
        <v>0.0</v>
      </c>
      <c r="T938" s="5">
        <v>209.860198442346</v>
      </c>
    </row>
    <row r="939">
      <c r="A939" s="5">
        <v>937.0</v>
      </c>
      <c r="B939" s="6">
        <v>44939.0</v>
      </c>
      <c r="C939" s="5">
        <v>196.897445092562</v>
      </c>
      <c r="D939" s="5">
        <v>167.015301950915</v>
      </c>
      <c r="E939" s="5">
        <v>249.795331460957</v>
      </c>
      <c r="F939" s="5">
        <v>196.897445092562</v>
      </c>
      <c r="G939" s="5">
        <v>196.897445092562</v>
      </c>
      <c r="H939" s="5">
        <v>12.0276511457187</v>
      </c>
      <c r="I939" s="5">
        <v>12.0276511457187</v>
      </c>
      <c r="J939" s="5">
        <v>12.0276511457187</v>
      </c>
      <c r="K939" s="5">
        <v>-0.7396400812798</v>
      </c>
      <c r="L939" s="5">
        <v>-0.7396400812798</v>
      </c>
      <c r="M939" s="5">
        <v>-0.7396400812798</v>
      </c>
      <c r="N939" s="5">
        <v>12.7672912269985</v>
      </c>
      <c r="O939" s="5">
        <v>12.7672912269985</v>
      </c>
      <c r="P939" s="5">
        <v>12.7672912269985</v>
      </c>
      <c r="Q939" s="5">
        <v>0.0</v>
      </c>
      <c r="R939" s="5">
        <v>0.0</v>
      </c>
      <c r="S939" s="5">
        <v>0.0</v>
      </c>
      <c r="T939" s="5">
        <v>208.925096238281</v>
      </c>
    </row>
    <row r="940">
      <c r="A940" s="5">
        <v>938.0</v>
      </c>
      <c r="B940" s="6">
        <v>44943.0</v>
      </c>
      <c r="C940" s="5">
        <v>197.352738213102</v>
      </c>
      <c r="D940" s="5">
        <v>166.559673514086</v>
      </c>
      <c r="E940" s="5">
        <v>245.521738183174</v>
      </c>
      <c r="F940" s="5">
        <v>197.352738213102</v>
      </c>
      <c r="G940" s="5">
        <v>197.352738213102</v>
      </c>
      <c r="H940" s="5">
        <v>9.91732612113153</v>
      </c>
      <c r="I940" s="5">
        <v>9.91732612113153</v>
      </c>
      <c r="J940" s="5">
        <v>9.91732612113153</v>
      </c>
      <c r="K940" s="5">
        <v>0.247324772138079</v>
      </c>
      <c r="L940" s="5">
        <v>0.247324772138079</v>
      </c>
      <c r="M940" s="5">
        <v>0.247324772138079</v>
      </c>
      <c r="N940" s="5">
        <v>9.67000134899345</v>
      </c>
      <c r="O940" s="5">
        <v>9.67000134899345</v>
      </c>
      <c r="P940" s="5">
        <v>9.67000134899345</v>
      </c>
      <c r="Q940" s="5">
        <v>0.0</v>
      </c>
      <c r="R940" s="5">
        <v>0.0</v>
      </c>
      <c r="S940" s="5">
        <v>0.0</v>
      </c>
      <c r="T940" s="5">
        <v>207.270064334233</v>
      </c>
    </row>
    <row r="941">
      <c r="A941" s="5">
        <v>939.0</v>
      </c>
      <c r="B941" s="6">
        <v>44944.0</v>
      </c>
      <c r="C941" s="5">
        <v>197.466561493237</v>
      </c>
      <c r="D941" s="5">
        <v>165.503333397728</v>
      </c>
      <c r="E941" s="5">
        <v>245.840683095038</v>
      </c>
      <c r="F941" s="5">
        <v>197.466561493237</v>
      </c>
      <c r="G941" s="5">
        <v>197.466561493237</v>
      </c>
      <c r="H941" s="5">
        <v>9.36051599155698</v>
      </c>
      <c r="I941" s="5">
        <v>9.36051599155698</v>
      </c>
      <c r="J941" s="5">
        <v>9.36051599155698</v>
      </c>
      <c r="K941" s="5">
        <v>0.608132553624267</v>
      </c>
      <c r="L941" s="5">
        <v>0.608132553624267</v>
      </c>
      <c r="M941" s="5">
        <v>0.608132553624267</v>
      </c>
      <c r="N941" s="5">
        <v>8.75238343793271</v>
      </c>
      <c r="O941" s="5">
        <v>8.75238343793271</v>
      </c>
      <c r="P941" s="5">
        <v>8.75238343793271</v>
      </c>
      <c r="Q941" s="5">
        <v>0.0</v>
      </c>
      <c r="R941" s="5">
        <v>0.0</v>
      </c>
      <c r="S941" s="5">
        <v>0.0</v>
      </c>
      <c r="T941" s="5">
        <v>206.827077484794</v>
      </c>
    </row>
    <row r="942">
      <c r="A942" s="5">
        <v>940.0</v>
      </c>
      <c r="B942" s="6">
        <v>44945.0</v>
      </c>
      <c r="C942" s="5">
        <v>197.580384773372</v>
      </c>
      <c r="D942" s="5">
        <v>162.494994814313</v>
      </c>
      <c r="E942" s="5">
        <v>244.698648114977</v>
      </c>
      <c r="F942" s="5">
        <v>197.580384773372</v>
      </c>
      <c r="G942" s="5">
        <v>197.580384773372</v>
      </c>
      <c r="H942" s="5">
        <v>7.59718420832337</v>
      </c>
      <c r="I942" s="5">
        <v>7.59718420832337</v>
      </c>
      <c r="J942" s="5">
        <v>7.59718420832337</v>
      </c>
      <c r="K942" s="5">
        <v>-0.225417905348695</v>
      </c>
      <c r="L942" s="5">
        <v>-0.225417905348695</v>
      </c>
      <c r="M942" s="5">
        <v>-0.225417905348695</v>
      </c>
      <c r="N942" s="5">
        <v>7.82260211367206</v>
      </c>
      <c r="O942" s="5">
        <v>7.82260211367206</v>
      </c>
      <c r="P942" s="5">
        <v>7.82260211367206</v>
      </c>
      <c r="Q942" s="5">
        <v>0.0</v>
      </c>
      <c r="R942" s="5">
        <v>0.0</v>
      </c>
      <c r="S942" s="5">
        <v>0.0</v>
      </c>
      <c r="T942" s="5">
        <v>205.177568981695</v>
      </c>
    </row>
    <row r="943">
      <c r="A943" s="5">
        <v>941.0</v>
      </c>
      <c r="B943" s="6">
        <v>44946.0</v>
      </c>
      <c r="C943" s="5">
        <v>197.694208053507</v>
      </c>
      <c r="D943" s="5">
        <v>163.599134429293</v>
      </c>
      <c r="E943" s="5">
        <v>244.26578019069</v>
      </c>
      <c r="F943" s="5">
        <v>197.694208053507</v>
      </c>
      <c r="G943" s="5">
        <v>197.694208053507</v>
      </c>
      <c r="H943" s="5">
        <v>6.1651907927214</v>
      </c>
      <c r="I943" s="5">
        <v>6.1651907927214</v>
      </c>
      <c r="J943" s="5">
        <v>6.1651907927214</v>
      </c>
      <c r="K943" s="5">
        <v>-0.739640081280955</v>
      </c>
      <c r="L943" s="5">
        <v>-0.739640081280955</v>
      </c>
      <c r="M943" s="5">
        <v>-0.739640081280955</v>
      </c>
      <c r="N943" s="5">
        <v>6.90483087400235</v>
      </c>
      <c r="O943" s="5">
        <v>6.90483087400235</v>
      </c>
      <c r="P943" s="5">
        <v>6.90483087400235</v>
      </c>
      <c r="Q943" s="5">
        <v>0.0</v>
      </c>
      <c r="R943" s="5">
        <v>0.0</v>
      </c>
      <c r="S943" s="5">
        <v>0.0</v>
      </c>
      <c r="T943" s="5">
        <v>203.859398846228</v>
      </c>
    </row>
    <row r="944">
      <c r="A944" s="5">
        <v>942.0</v>
      </c>
      <c r="B944" s="6">
        <v>44949.0</v>
      </c>
      <c r="C944" s="5">
        <v>198.035677893912</v>
      </c>
      <c r="D944" s="5">
        <v>162.087612925453</v>
      </c>
      <c r="E944" s="5">
        <v>244.709054561535</v>
      </c>
      <c r="F944" s="5">
        <v>198.035677893912</v>
      </c>
      <c r="G944" s="5">
        <v>198.035677893912</v>
      </c>
      <c r="H944" s="5">
        <v>5.6234213563144</v>
      </c>
      <c r="I944" s="5">
        <v>5.6234213563144</v>
      </c>
      <c r="J944" s="5">
        <v>5.6234213563144</v>
      </c>
      <c r="K944" s="5">
        <v>1.16457933345022</v>
      </c>
      <c r="L944" s="5">
        <v>1.16457933345022</v>
      </c>
      <c r="M944" s="5">
        <v>1.16457933345022</v>
      </c>
      <c r="N944" s="5">
        <v>4.45884202286417</v>
      </c>
      <c r="O944" s="5">
        <v>4.45884202286417</v>
      </c>
      <c r="P944" s="5">
        <v>4.45884202286417</v>
      </c>
      <c r="Q944" s="5">
        <v>0.0</v>
      </c>
      <c r="R944" s="5">
        <v>0.0</v>
      </c>
      <c r="S944" s="5">
        <v>0.0</v>
      </c>
      <c r="T944" s="5">
        <v>203.659099250226</v>
      </c>
    </row>
    <row r="945">
      <c r="A945" s="5">
        <v>943.0</v>
      </c>
      <c r="B945" s="6">
        <v>44950.0</v>
      </c>
      <c r="C945" s="5">
        <v>198.149501174047</v>
      </c>
      <c r="D945" s="5">
        <v>162.392432581134</v>
      </c>
      <c r="E945" s="5">
        <v>242.693594829044</v>
      </c>
      <c r="F945" s="5">
        <v>198.149501174047</v>
      </c>
      <c r="G945" s="5">
        <v>198.149501174047</v>
      </c>
      <c r="H945" s="5">
        <v>4.06483204578723</v>
      </c>
      <c r="I945" s="5">
        <v>4.06483204578723</v>
      </c>
      <c r="J945" s="5">
        <v>4.06483204578723</v>
      </c>
      <c r="K945" s="5">
        <v>0.247324772136745</v>
      </c>
      <c r="L945" s="5">
        <v>0.247324772136745</v>
      </c>
      <c r="M945" s="5">
        <v>0.247324772136745</v>
      </c>
      <c r="N945" s="5">
        <v>3.81750727365048</v>
      </c>
      <c r="O945" s="5">
        <v>3.81750727365048</v>
      </c>
      <c r="P945" s="5">
        <v>3.81750727365048</v>
      </c>
      <c r="Q945" s="5">
        <v>0.0</v>
      </c>
      <c r="R945" s="5">
        <v>0.0</v>
      </c>
      <c r="S945" s="5">
        <v>0.0</v>
      </c>
      <c r="T945" s="5">
        <v>202.214333219834</v>
      </c>
    </row>
    <row r="946">
      <c r="A946" s="5">
        <v>944.0</v>
      </c>
      <c r="B946" s="6">
        <v>44951.0</v>
      </c>
      <c r="C946" s="5">
        <v>198.263324454182</v>
      </c>
      <c r="D946" s="5">
        <v>163.578733198484</v>
      </c>
      <c r="E946" s="5">
        <v>242.55625339057</v>
      </c>
      <c r="F946" s="5">
        <v>198.263324454182</v>
      </c>
      <c r="G946" s="5">
        <v>198.263324454182</v>
      </c>
      <c r="H946" s="5">
        <v>3.90143516348656</v>
      </c>
      <c r="I946" s="5">
        <v>3.90143516348656</v>
      </c>
      <c r="J946" s="5">
        <v>3.90143516348656</v>
      </c>
      <c r="K946" s="5">
        <v>0.608132553626046</v>
      </c>
      <c r="L946" s="5">
        <v>0.608132553626046</v>
      </c>
      <c r="M946" s="5">
        <v>0.608132553626046</v>
      </c>
      <c r="N946" s="5">
        <v>3.29330260986051</v>
      </c>
      <c r="O946" s="5">
        <v>3.29330260986051</v>
      </c>
      <c r="P946" s="5">
        <v>3.29330260986051</v>
      </c>
      <c r="Q946" s="5">
        <v>0.0</v>
      </c>
      <c r="R946" s="5">
        <v>0.0</v>
      </c>
      <c r="S946" s="5">
        <v>0.0</v>
      </c>
      <c r="T946" s="5">
        <v>202.164759617668</v>
      </c>
    </row>
    <row r="947">
      <c r="A947" s="5">
        <v>945.0</v>
      </c>
      <c r="B947" s="6">
        <v>44952.0</v>
      </c>
      <c r="C947" s="5">
        <v>198.377147734317</v>
      </c>
      <c r="D947" s="5">
        <v>162.614537549271</v>
      </c>
      <c r="E947" s="5">
        <v>241.091831818486</v>
      </c>
      <c r="F947" s="5">
        <v>198.377147734317</v>
      </c>
      <c r="G947" s="5">
        <v>198.377147734317</v>
      </c>
      <c r="H947" s="5">
        <v>2.67432878146965</v>
      </c>
      <c r="I947" s="5">
        <v>2.67432878146965</v>
      </c>
      <c r="J947" s="5">
        <v>2.67432878146965</v>
      </c>
      <c r="K947" s="5">
        <v>-0.225417905348274</v>
      </c>
      <c r="L947" s="5">
        <v>-0.225417905348274</v>
      </c>
      <c r="M947" s="5">
        <v>-0.225417905348274</v>
      </c>
      <c r="N947" s="5">
        <v>2.89974668681793</v>
      </c>
      <c r="O947" s="5">
        <v>2.89974668681793</v>
      </c>
      <c r="P947" s="5">
        <v>2.89974668681793</v>
      </c>
      <c r="Q947" s="5">
        <v>0.0</v>
      </c>
      <c r="R947" s="5">
        <v>0.0</v>
      </c>
      <c r="S947" s="5">
        <v>0.0</v>
      </c>
      <c r="T947" s="5">
        <v>201.051476515787</v>
      </c>
    </row>
    <row r="948">
      <c r="A948" s="5">
        <v>946.0</v>
      </c>
      <c r="B948" s="6">
        <v>44953.0</v>
      </c>
      <c r="C948" s="5">
        <v>198.490971014452</v>
      </c>
      <c r="D948" s="5">
        <v>156.765262394259</v>
      </c>
      <c r="E948" s="5">
        <v>240.795025114674</v>
      </c>
      <c r="F948" s="5">
        <v>198.490971014452</v>
      </c>
      <c r="G948" s="5">
        <v>198.490971014452</v>
      </c>
      <c r="H948" s="5">
        <v>1.90703392501191</v>
      </c>
      <c r="I948" s="5">
        <v>1.90703392501191</v>
      </c>
      <c r="J948" s="5">
        <v>1.90703392501191</v>
      </c>
      <c r="K948" s="5">
        <v>-0.739640081276617</v>
      </c>
      <c r="L948" s="5">
        <v>-0.739640081276617</v>
      </c>
      <c r="M948" s="5">
        <v>-0.739640081276617</v>
      </c>
      <c r="N948" s="5">
        <v>2.64667400628852</v>
      </c>
      <c r="O948" s="5">
        <v>2.64667400628852</v>
      </c>
      <c r="P948" s="5">
        <v>2.64667400628852</v>
      </c>
      <c r="Q948" s="5">
        <v>0.0</v>
      </c>
      <c r="R948" s="5">
        <v>0.0</v>
      </c>
      <c r="S948" s="5">
        <v>0.0</v>
      </c>
      <c r="T948" s="5">
        <v>200.398004939464</v>
      </c>
    </row>
    <row r="949">
      <c r="A949" s="5">
        <v>947.0</v>
      </c>
      <c r="B949" s="6">
        <v>44956.0</v>
      </c>
      <c r="C949" s="5">
        <v>198.832440854857</v>
      </c>
      <c r="D949" s="5">
        <v>162.987396373361</v>
      </c>
      <c r="E949" s="5">
        <v>241.508330193779</v>
      </c>
      <c r="F949" s="5">
        <v>198.832440854857</v>
      </c>
      <c r="G949" s="5">
        <v>198.832440854857</v>
      </c>
      <c r="H949" s="5">
        <v>3.93170179319812</v>
      </c>
      <c r="I949" s="5">
        <v>3.93170179319812</v>
      </c>
      <c r="J949" s="5">
        <v>3.93170179319812</v>
      </c>
      <c r="K949" s="5">
        <v>1.16457933345045</v>
      </c>
      <c r="L949" s="5">
        <v>1.16457933345045</v>
      </c>
      <c r="M949" s="5">
        <v>1.16457933345045</v>
      </c>
      <c r="N949" s="5">
        <v>2.76712245974766</v>
      </c>
      <c r="O949" s="5">
        <v>2.76712245974766</v>
      </c>
      <c r="P949" s="5">
        <v>2.76712245974766</v>
      </c>
      <c r="Q949" s="5">
        <v>0.0</v>
      </c>
      <c r="R949" s="5">
        <v>0.0</v>
      </c>
      <c r="S949" s="5">
        <v>0.0</v>
      </c>
      <c r="T949" s="5">
        <v>202.764142648055</v>
      </c>
    </row>
    <row r="950">
      <c r="A950" s="5">
        <v>948.0</v>
      </c>
      <c r="B950" s="6">
        <v>44957.0</v>
      </c>
      <c r="C950" s="5">
        <v>198.946264134992</v>
      </c>
      <c r="D950" s="5">
        <v>161.526455631922</v>
      </c>
      <c r="E950" s="5">
        <v>241.904556948397</v>
      </c>
      <c r="F950" s="5">
        <v>198.946264134992</v>
      </c>
      <c r="G950" s="5">
        <v>198.946264134992</v>
      </c>
      <c r="H950" s="5">
        <v>3.33847050179682</v>
      </c>
      <c r="I950" s="5">
        <v>3.33847050179682</v>
      </c>
      <c r="J950" s="5">
        <v>3.33847050179682</v>
      </c>
      <c r="K950" s="5">
        <v>0.247324772136833</v>
      </c>
      <c r="L950" s="5">
        <v>0.247324772136833</v>
      </c>
      <c r="M950" s="5">
        <v>0.247324772136833</v>
      </c>
      <c r="N950" s="5">
        <v>3.09114572965999</v>
      </c>
      <c r="O950" s="5">
        <v>3.09114572965999</v>
      </c>
      <c r="P950" s="5">
        <v>3.09114572965999</v>
      </c>
      <c r="Q950" s="5">
        <v>0.0</v>
      </c>
      <c r="R950" s="5">
        <v>0.0</v>
      </c>
      <c r="S950" s="5">
        <v>0.0</v>
      </c>
      <c r="T950" s="5">
        <v>202.284734636789</v>
      </c>
    </row>
    <row r="951">
      <c r="A951" s="5">
        <v>949.0</v>
      </c>
      <c r="B951" s="6">
        <v>44958.0</v>
      </c>
      <c r="C951" s="5">
        <v>199.060087415127</v>
      </c>
      <c r="D951" s="5">
        <v>161.101207616402</v>
      </c>
      <c r="E951" s="5">
        <v>240.806198009945</v>
      </c>
      <c r="F951" s="5">
        <v>199.060087415127</v>
      </c>
      <c r="G951" s="5">
        <v>199.060087415127</v>
      </c>
      <c r="H951" s="5">
        <v>4.14976674817647</v>
      </c>
      <c r="I951" s="5">
        <v>4.14976674817647</v>
      </c>
      <c r="J951" s="5">
        <v>4.14976674817647</v>
      </c>
      <c r="K951" s="5">
        <v>0.608132553626711</v>
      </c>
      <c r="L951" s="5">
        <v>0.608132553626711</v>
      </c>
      <c r="M951" s="5">
        <v>0.608132553626711</v>
      </c>
      <c r="N951" s="5">
        <v>3.54163419454976</v>
      </c>
      <c r="O951" s="5">
        <v>3.54163419454976</v>
      </c>
      <c r="P951" s="5">
        <v>3.54163419454976</v>
      </c>
      <c r="Q951" s="5">
        <v>0.0</v>
      </c>
      <c r="R951" s="5">
        <v>0.0</v>
      </c>
      <c r="S951" s="5">
        <v>0.0</v>
      </c>
      <c r="T951" s="5">
        <v>203.209854163303</v>
      </c>
    </row>
    <row r="952">
      <c r="A952" s="5">
        <v>950.0</v>
      </c>
      <c r="B952" s="6">
        <v>44959.0</v>
      </c>
      <c r="C952" s="5">
        <v>199.173910695262</v>
      </c>
      <c r="D952" s="5">
        <v>158.225531708931</v>
      </c>
      <c r="E952" s="5">
        <v>240.462039667871</v>
      </c>
      <c r="F952" s="5">
        <v>199.173910695262</v>
      </c>
      <c r="G952" s="5">
        <v>199.173910695262</v>
      </c>
      <c r="H952" s="5">
        <v>3.87774110291167</v>
      </c>
      <c r="I952" s="5">
        <v>3.87774110291167</v>
      </c>
      <c r="J952" s="5">
        <v>3.87774110291167</v>
      </c>
      <c r="K952" s="5">
        <v>-0.225417905347853</v>
      </c>
      <c r="L952" s="5">
        <v>-0.225417905347853</v>
      </c>
      <c r="M952" s="5">
        <v>-0.225417905347853</v>
      </c>
      <c r="N952" s="5">
        <v>4.10315900825952</v>
      </c>
      <c r="O952" s="5">
        <v>4.10315900825952</v>
      </c>
      <c r="P952" s="5">
        <v>4.10315900825952</v>
      </c>
      <c r="Q952" s="5">
        <v>0.0</v>
      </c>
      <c r="R952" s="5">
        <v>0.0</v>
      </c>
      <c r="S952" s="5">
        <v>0.0</v>
      </c>
      <c r="T952" s="5">
        <v>203.051651798174</v>
      </c>
    </row>
    <row r="953">
      <c r="A953" s="5">
        <v>951.0</v>
      </c>
      <c r="B953" s="6">
        <v>44960.0</v>
      </c>
      <c r="C953" s="5">
        <v>199.287733975397</v>
      </c>
      <c r="D953" s="5">
        <v>161.241789129611</v>
      </c>
      <c r="E953" s="5">
        <v>244.080702874649</v>
      </c>
      <c r="F953" s="5">
        <v>199.287733975397</v>
      </c>
      <c r="G953" s="5">
        <v>199.287733975397</v>
      </c>
      <c r="H953" s="5">
        <v>4.016988734615</v>
      </c>
      <c r="I953" s="5">
        <v>4.016988734615</v>
      </c>
      <c r="J953" s="5">
        <v>4.016988734615</v>
      </c>
      <c r="K953" s="5">
        <v>-0.739640081281205</v>
      </c>
      <c r="L953" s="5">
        <v>-0.739640081281205</v>
      </c>
      <c r="M953" s="5">
        <v>-0.739640081281205</v>
      </c>
      <c r="N953" s="5">
        <v>4.75662881589621</v>
      </c>
      <c r="O953" s="5">
        <v>4.75662881589621</v>
      </c>
      <c r="P953" s="5">
        <v>4.75662881589621</v>
      </c>
      <c r="Q953" s="5">
        <v>0.0</v>
      </c>
      <c r="R953" s="5">
        <v>0.0</v>
      </c>
      <c r="S953" s="5">
        <v>0.0</v>
      </c>
      <c r="T953" s="5">
        <v>203.304722710012</v>
      </c>
    </row>
    <row r="954">
      <c r="A954" s="5">
        <v>952.0</v>
      </c>
      <c r="B954" s="6">
        <v>44963.0</v>
      </c>
      <c r="C954" s="5">
        <v>199.629203815802</v>
      </c>
      <c r="D954" s="5">
        <v>168.317248254143</v>
      </c>
      <c r="E954" s="5">
        <v>247.750071259936</v>
      </c>
      <c r="F954" s="5">
        <v>199.629203815802</v>
      </c>
      <c r="G954" s="5">
        <v>199.629203815802</v>
      </c>
      <c r="H954" s="5">
        <v>8.1975327655835</v>
      </c>
      <c r="I954" s="5">
        <v>8.1975327655835</v>
      </c>
      <c r="J954" s="5">
        <v>8.1975327655835</v>
      </c>
      <c r="K954" s="5">
        <v>1.16457933345079</v>
      </c>
      <c r="L954" s="5">
        <v>1.16457933345079</v>
      </c>
      <c r="M954" s="5">
        <v>1.16457933345079</v>
      </c>
      <c r="N954" s="5">
        <v>7.0329534321327</v>
      </c>
      <c r="O954" s="5">
        <v>7.0329534321327</v>
      </c>
      <c r="P954" s="5">
        <v>7.0329534321327</v>
      </c>
      <c r="Q954" s="5">
        <v>0.0</v>
      </c>
      <c r="R954" s="5">
        <v>0.0</v>
      </c>
      <c r="S954" s="5">
        <v>0.0</v>
      </c>
      <c r="T954" s="5">
        <v>207.826736581385</v>
      </c>
    </row>
    <row r="955">
      <c r="A955" s="5">
        <v>953.0</v>
      </c>
      <c r="B955" s="6">
        <v>44964.0</v>
      </c>
      <c r="C955" s="5">
        <v>199.743027095937</v>
      </c>
      <c r="D955" s="5">
        <v>165.762619309617</v>
      </c>
      <c r="E955" s="5">
        <v>249.936748371698</v>
      </c>
      <c r="F955" s="5">
        <v>199.743027095937</v>
      </c>
      <c r="G955" s="5">
        <v>199.743027095937</v>
      </c>
      <c r="H955" s="5">
        <v>8.05497228810774</v>
      </c>
      <c r="I955" s="5">
        <v>8.05497228810774</v>
      </c>
      <c r="J955" s="5">
        <v>8.05497228810774</v>
      </c>
      <c r="K955" s="5">
        <v>0.247324772136796</v>
      </c>
      <c r="L955" s="5">
        <v>0.247324772136796</v>
      </c>
      <c r="M955" s="5">
        <v>0.247324772136796</v>
      </c>
      <c r="N955" s="5">
        <v>7.80764751597095</v>
      </c>
      <c r="O955" s="5">
        <v>7.80764751597095</v>
      </c>
      <c r="P955" s="5">
        <v>7.80764751597095</v>
      </c>
      <c r="Q955" s="5">
        <v>0.0</v>
      </c>
      <c r="R955" s="5">
        <v>0.0</v>
      </c>
      <c r="S955" s="5">
        <v>0.0</v>
      </c>
      <c r="T955" s="5">
        <v>207.797999384045</v>
      </c>
    </row>
    <row r="956">
      <c r="A956" s="5">
        <v>954.0</v>
      </c>
      <c r="B956" s="6">
        <v>44965.0</v>
      </c>
      <c r="C956" s="5">
        <v>199.856850376072</v>
      </c>
      <c r="D956" s="5">
        <v>167.182512716552</v>
      </c>
      <c r="E956" s="5">
        <v>247.402462921034</v>
      </c>
      <c r="F956" s="5">
        <v>199.856850376072</v>
      </c>
      <c r="G956" s="5">
        <v>199.856850376072</v>
      </c>
      <c r="H956" s="5">
        <v>9.15071174818073</v>
      </c>
      <c r="I956" s="5">
        <v>9.15071174818073</v>
      </c>
      <c r="J956" s="5">
        <v>9.15071174818073</v>
      </c>
      <c r="K956" s="5">
        <v>0.608132553628489</v>
      </c>
      <c r="L956" s="5">
        <v>0.608132553628489</v>
      </c>
      <c r="M956" s="5">
        <v>0.608132553628489</v>
      </c>
      <c r="N956" s="5">
        <v>8.54257919455224</v>
      </c>
      <c r="O956" s="5">
        <v>8.54257919455224</v>
      </c>
      <c r="P956" s="5">
        <v>8.54257919455224</v>
      </c>
      <c r="Q956" s="5">
        <v>0.0</v>
      </c>
      <c r="R956" s="5">
        <v>0.0</v>
      </c>
      <c r="S956" s="5">
        <v>0.0</v>
      </c>
      <c r="T956" s="5">
        <v>209.007562124253</v>
      </c>
    </row>
    <row r="957">
      <c r="A957" s="5">
        <v>955.0</v>
      </c>
      <c r="B957" s="6">
        <v>44966.0</v>
      </c>
      <c r="C957" s="5">
        <v>199.970673656207</v>
      </c>
      <c r="D957" s="5">
        <v>170.216178845122</v>
      </c>
      <c r="E957" s="5">
        <v>253.298296338079</v>
      </c>
      <c r="F957" s="5">
        <v>199.970673656207</v>
      </c>
      <c r="G957" s="5">
        <v>199.970673656207</v>
      </c>
      <c r="H957" s="5">
        <v>8.98341842820061</v>
      </c>
      <c r="I957" s="5">
        <v>8.98341842820061</v>
      </c>
      <c r="J957" s="5">
        <v>8.98341842820061</v>
      </c>
      <c r="K957" s="5">
        <v>-0.225417905347432</v>
      </c>
      <c r="L957" s="5">
        <v>-0.225417905347432</v>
      </c>
      <c r="M957" s="5">
        <v>-0.225417905347432</v>
      </c>
      <c r="N957" s="5">
        <v>9.20883633354804</v>
      </c>
      <c r="O957" s="5">
        <v>9.20883633354804</v>
      </c>
      <c r="P957" s="5">
        <v>9.20883633354804</v>
      </c>
      <c r="Q957" s="5">
        <v>0.0</v>
      </c>
      <c r="R957" s="5">
        <v>0.0</v>
      </c>
      <c r="S957" s="5">
        <v>0.0</v>
      </c>
      <c r="T957" s="5">
        <v>208.954092084408</v>
      </c>
    </row>
    <row r="958">
      <c r="A958" s="5">
        <v>956.0</v>
      </c>
      <c r="B958" s="6">
        <v>44967.0</v>
      </c>
      <c r="C958" s="5">
        <v>200.084496936342</v>
      </c>
      <c r="D958" s="5">
        <v>167.987628274857</v>
      </c>
      <c r="E958" s="5">
        <v>248.242686816126</v>
      </c>
      <c r="F958" s="5">
        <v>200.084496936342</v>
      </c>
      <c r="G958" s="5">
        <v>200.084496936342</v>
      </c>
      <c r="H958" s="5">
        <v>9.03873772984603</v>
      </c>
      <c r="I958" s="5">
        <v>9.03873772984603</v>
      </c>
      <c r="J958" s="5">
        <v>9.03873772984603</v>
      </c>
      <c r="K958" s="5">
        <v>-0.739640081278928</v>
      </c>
      <c r="L958" s="5">
        <v>-0.739640081278928</v>
      </c>
      <c r="M958" s="5">
        <v>-0.739640081278928</v>
      </c>
      <c r="N958" s="5">
        <v>9.77837781112496</v>
      </c>
      <c r="O958" s="5">
        <v>9.77837781112496</v>
      </c>
      <c r="P958" s="5">
        <v>9.77837781112496</v>
      </c>
      <c r="Q958" s="5">
        <v>0.0</v>
      </c>
      <c r="R958" s="5">
        <v>0.0</v>
      </c>
      <c r="S958" s="5">
        <v>0.0</v>
      </c>
      <c r="T958" s="5">
        <v>209.123234666188</v>
      </c>
    </row>
    <row r="959">
      <c r="A959" s="5">
        <v>957.0</v>
      </c>
      <c r="B959" s="6">
        <v>44970.0</v>
      </c>
      <c r="C959" s="5">
        <v>200.425966776747</v>
      </c>
      <c r="D959" s="5">
        <v>167.505311818875</v>
      </c>
      <c r="E959" s="5">
        <v>249.695184616911</v>
      </c>
      <c r="F959" s="5">
        <v>200.425966776747</v>
      </c>
      <c r="G959" s="5">
        <v>200.425966776747</v>
      </c>
      <c r="H959" s="5">
        <v>11.819292831305</v>
      </c>
      <c r="I959" s="5">
        <v>11.819292831305</v>
      </c>
      <c r="J959" s="5">
        <v>11.819292831305</v>
      </c>
      <c r="K959" s="5">
        <v>1.16457933345113</v>
      </c>
      <c r="L959" s="5">
        <v>1.16457933345113</v>
      </c>
      <c r="M959" s="5">
        <v>1.16457933345113</v>
      </c>
      <c r="N959" s="5">
        <v>10.6547134978539</v>
      </c>
      <c r="O959" s="5">
        <v>10.6547134978539</v>
      </c>
      <c r="P959" s="5">
        <v>10.6547134978539</v>
      </c>
      <c r="Q959" s="5">
        <v>0.0</v>
      </c>
      <c r="R959" s="5">
        <v>0.0</v>
      </c>
      <c r="S959" s="5">
        <v>0.0</v>
      </c>
      <c r="T959" s="5">
        <v>212.245259608052</v>
      </c>
    </row>
    <row r="960">
      <c r="A960" s="5">
        <v>958.0</v>
      </c>
      <c r="B960" s="6">
        <v>44971.0</v>
      </c>
      <c r="C960" s="5">
        <v>200.539790056882</v>
      </c>
      <c r="D960" s="5">
        <v>170.982899228753</v>
      </c>
      <c r="E960" s="5">
        <v>250.808157453011</v>
      </c>
      <c r="F960" s="5">
        <v>200.539790056882</v>
      </c>
      <c r="G960" s="5">
        <v>200.539790056882</v>
      </c>
      <c r="H960" s="5">
        <v>10.8468933084209</v>
      </c>
      <c r="I960" s="5">
        <v>10.8468933084209</v>
      </c>
      <c r="J960" s="5">
        <v>10.8468933084209</v>
      </c>
      <c r="K960" s="5">
        <v>0.24732477213973</v>
      </c>
      <c r="L960" s="5">
        <v>0.24732477213973</v>
      </c>
      <c r="M960" s="5">
        <v>0.24732477213973</v>
      </c>
      <c r="N960" s="5">
        <v>10.5995685362812</v>
      </c>
      <c r="O960" s="5">
        <v>10.5995685362812</v>
      </c>
      <c r="P960" s="5">
        <v>10.5995685362812</v>
      </c>
      <c r="Q960" s="5">
        <v>0.0</v>
      </c>
      <c r="R960" s="5">
        <v>0.0</v>
      </c>
      <c r="S960" s="5">
        <v>0.0</v>
      </c>
      <c r="T960" s="5">
        <v>211.386683365303</v>
      </c>
    </row>
    <row r="961">
      <c r="A961" s="5">
        <v>959.0</v>
      </c>
      <c r="B961" s="6">
        <v>44972.0</v>
      </c>
      <c r="C961" s="5">
        <v>200.653613337017</v>
      </c>
      <c r="D961" s="5">
        <v>172.403048208857</v>
      </c>
      <c r="E961" s="5">
        <v>251.296502163481</v>
      </c>
      <c r="F961" s="5">
        <v>200.653613337017</v>
      </c>
      <c r="G961" s="5">
        <v>200.653613337017</v>
      </c>
      <c r="H961" s="5">
        <v>10.9531331273743</v>
      </c>
      <c r="I961" s="5">
        <v>10.9531331273743</v>
      </c>
      <c r="J961" s="5">
        <v>10.9531331273743</v>
      </c>
      <c r="K961" s="5">
        <v>0.608132553624931</v>
      </c>
      <c r="L961" s="5">
        <v>0.608132553624931</v>
      </c>
      <c r="M961" s="5">
        <v>0.608132553624931</v>
      </c>
      <c r="N961" s="5">
        <v>10.3450005737493</v>
      </c>
      <c r="O961" s="5">
        <v>10.3450005737493</v>
      </c>
      <c r="P961" s="5">
        <v>10.3450005737493</v>
      </c>
      <c r="Q961" s="5">
        <v>0.0</v>
      </c>
      <c r="R961" s="5">
        <v>0.0</v>
      </c>
      <c r="S961" s="5">
        <v>0.0</v>
      </c>
      <c r="T961" s="5">
        <v>211.606746464391</v>
      </c>
    </row>
    <row r="962">
      <c r="A962" s="5">
        <v>960.0</v>
      </c>
      <c r="B962" s="6">
        <v>44973.0</v>
      </c>
      <c r="C962" s="5">
        <v>200.767436617152</v>
      </c>
      <c r="D962" s="5">
        <v>170.39916070038</v>
      </c>
      <c r="E962" s="5">
        <v>251.27362553725</v>
      </c>
      <c r="F962" s="5">
        <v>200.767436617152</v>
      </c>
      <c r="G962" s="5">
        <v>200.767436617152</v>
      </c>
      <c r="H962" s="5">
        <v>9.65656090550891</v>
      </c>
      <c r="I962" s="5">
        <v>9.65656090550891</v>
      </c>
      <c r="J962" s="5">
        <v>9.65656090550891</v>
      </c>
      <c r="K962" s="5">
        <v>-0.225417905350396</v>
      </c>
      <c r="L962" s="5">
        <v>-0.225417905350396</v>
      </c>
      <c r="M962" s="5">
        <v>-0.225417905350396</v>
      </c>
      <c r="N962" s="5">
        <v>9.88197881085931</v>
      </c>
      <c r="O962" s="5">
        <v>9.88197881085931</v>
      </c>
      <c r="P962" s="5">
        <v>9.88197881085931</v>
      </c>
      <c r="Q962" s="5">
        <v>0.0</v>
      </c>
      <c r="R962" s="5">
        <v>0.0</v>
      </c>
      <c r="S962" s="5">
        <v>0.0</v>
      </c>
      <c r="T962" s="5">
        <v>210.423997522661</v>
      </c>
    </row>
    <row r="963">
      <c r="A963" s="5">
        <v>961.0</v>
      </c>
      <c r="B963" s="6">
        <v>44974.0</v>
      </c>
      <c r="C963" s="5">
        <v>200.881259897287</v>
      </c>
      <c r="D963" s="5">
        <v>166.444773620466</v>
      </c>
      <c r="E963" s="5">
        <v>249.525579108602</v>
      </c>
      <c r="F963" s="5">
        <v>200.881259897287</v>
      </c>
      <c r="G963" s="5">
        <v>200.881259897287</v>
      </c>
      <c r="H963" s="5">
        <v>8.46658497004588</v>
      </c>
      <c r="I963" s="5">
        <v>8.46658497004588</v>
      </c>
      <c r="J963" s="5">
        <v>8.46658497004588</v>
      </c>
      <c r="K963" s="5">
        <v>-0.739640081280084</v>
      </c>
      <c r="L963" s="5">
        <v>-0.739640081280084</v>
      </c>
      <c r="M963" s="5">
        <v>-0.739640081280084</v>
      </c>
      <c r="N963" s="5">
        <v>9.20622505132597</v>
      </c>
      <c r="O963" s="5">
        <v>9.20622505132597</v>
      </c>
      <c r="P963" s="5">
        <v>9.20622505132597</v>
      </c>
      <c r="Q963" s="5">
        <v>0.0</v>
      </c>
      <c r="R963" s="5">
        <v>0.0</v>
      </c>
      <c r="S963" s="5">
        <v>0.0</v>
      </c>
      <c r="T963" s="5">
        <v>209.347844867333</v>
      </c>
    </row>
    <row r="964">
      <c r="A964" s="5">
        <v>962.0</v>
      </c>
      <c r="B964" s="6">
        <v>44978.0</v>
      </c>
      <c r="C964" s="5">
        <v>201.336553017827</v>
      </c>
      <c r="D964" s="5">
        <v>167.554670407372</v>
      </c>
      <c r="E964" s="5">
        <v>249.588166821257</v>
      </c>
      <c r="F964" s="5">
        <v>201.336553017827</v>
      </c>
      <c r="G964" s="5">
        <v>201.336553017827</v>
      </c>
      <c r="H964" s="5">
        <v>4.71006544459247</v>
      </c>
      <c r="I964" s="5">
        <v>4.71006544459247</v>
      </c>
      <c r="J964" s="5">
        <v>4.71006544459247</v>
      </c>
      <c r="K964" s="5">
        <v>0.247324772138396</v>
      </c>
      <c r="L964" s="5">
        <v>0.247324772138396</v>
      </c>
      <c r="M964" s="5">
        <v>0.247324772138396</v>
      </c>
      <c r="N964" s="5">
        <v>4.46274067245407</v>
      </c>
      <c r="O964" s="5">
        <v>4.46274067245407</v>
      </c>
      <c r="P964" s="5">
        <v>4.46274067245407</v>
      </c>
      <c r="Q964" s="5">
        <v>0.0</v>
      </c>
      <c r="R964" s="5">
        <v>0.0</v>
      </c>
      <c r="S964" s="5">
        <v>0.0</v>
      </c>
      <c r="T964" s="5">
        <v>206.04661846242</v>
      </c>
    </row>
    <row r="965">
      <c r="A965" s="5">
        <v>963.0</v>
      </c>
      <c r="B965" s="6">
        <v>44979.0</v>
      </c>
      <c r="C965" s="5">
        <v>201.450376297962</v>
      </c>
      <c r="D965" s="5">
        <v>166.847846218383</v>
      </c>
      <c r="E965" s="5">
        <v>243.669697337804</v>
      </c>
      <c r="F965" s="5">
        <v>201.450376297962</v>
      </c>
      <c r="G965" s="5">
        <v>201.450376297962</v>
      </c>
      <c r="H965" s="5">
        <v>3.43862214287519</v>
      </c>
      <c r="I965" s="5">
        <v>3.43862214287519</v>
      </c>
      <c r="J965" s="5">
        <v>3.43862214287519</v>
      </c>
      <c r="K965" s="5">
        <v>0.60813255362671</v>
      </c>
      <c r="L965" s="5">
        <v>0.60813255362671</v>
      </c>
      <c r="M965" s="5">
        <v>0.60813255362671</v>
      </c>
      <c r="N965" s="5">
        <v>2.83048958924848</v>
      </c>
      <c r="O965" s="5">
        <v>2.83048958924848</v>
      </c>
      <c r="P965" s="5">
        <v>2.83048958924848</v>
      </c>
      <c r="Q965" s="5">
        <v>0.0</v>
      </c>
      <c r="R965" s="5">
        <v>0.0</v>
      </c>
      <c r="S965" s="5">
        <v>0.0</v>
      </c>
      <c r="T965" s="5">
        <v>204.888998440837</v>
      </c>
    </row>
    <row r="966">
      <c r="A966" s="5">
        <v>964.0</v>
      </c>
      <c r="B966" s="6">
        <v>44980.0</v>
      </c>
      <c r="C966" s="5">
        <v>201.564199578097</v>
      </c>
      <c r="D966" s="5">
        <v>163.682334710032</v>
      </c>
      <c r="E966" s="5">
        <v>242.725501959011</v>
      </c>
      <c r="F966" s="5">
        <v>201.564199578097</v>
      </c>
      <c r="G966" s="5">
        <v>201.564199578097</v>
      </c>
      <c r="H966" s="5">
        <v>0.835128049696746</v>
      </c>
      <c r="I966" s="5">
        <v>0.835128049696746</v>
      </c>
      <c r="J966" s="5">
        <v>0.835128049696746</v>
      </c>
      <c r="K966" s="5">
        <v>-0.225417905348049</v>
      </c>
      <c r="L966" s="5">
        <v>-0.225417905348049</v>
      </c>
      <c r="M966" s="5">
        <v>-0.225417905348049</v>
      </c>
      <c r="N966" s="5">
        <v>1.06054595504479</v>
      </c>
      <c r="O966" s="5">
        <v>1.06054595504479</v>
      </c>
      <c r="P966" s="5">
        <v>1.06054595504479</v>
      </c>
      <c r="Q966" s="5">
        <v>0.0</v>
      </c>
      <c r="R966" s="5">
        <v>0.0</v>
      </c>
      <c r="S966" s="5">
        <v>0.0</v>
      </c>
      <c r="T966" s="5">
        <v>202.399327627794</v>
      </c>
    </row>
    <row r="967">
      <c r="A967" s="5">
        <v>965.0</v>
      </c>
      <c r="B967" s="6">
        <v>44981.0</v>
      </c>
      <c r="C967" s="5">
        <v>201.678022858232</v>
      </c>
      <c r="D967" s="5">
        <v>161.422070760656</v>
      </c>
      <c r="E967" s="5">
        <v>241.922631341745</v>
      </c>
      <c r="F967" s="5">
        <v>201.678022858232</v>
      </c>
      <c r="G967" s="5">
        <v>201.678022858232</v>
      </c>
      <c r="H967" s="5">
        <v>-1.55980918819214</v>
      </c>
      <c r="I967" s="5">
        <v>-1.55980918819214</v>
      </c>
      <c r="J967" s="5">
        <v>-1.55980918819214</v>
      </c>
      <c r="K967" s="5">
        <v>-0.739640081279178</v>
      </c>
      <c r="L967" s="5">
        <v>-0.739640081279178</v>
      </c>
      <c r="M967" s="5">
        <v>-0.739640081279178</v>
      </c>
      <c r="N967" s="5">
        <v>-0.820169106912963</v>
      </c>
      <c r="O967" s="5">
        <v>-0.820169106912963</v>
      </c>
      <c r="P967" s="5">
        <v>-0.820169106912963</v>
      </c>
      <c r="Q967" s="5">
        <v>0.0</v>
      </c>
      <c r="R967" s="5">
        <v>0.0</v>
      </c>
      <c r="S967" s="5">
        <v>0.0</v>
      </c>
      <c r="T967" s="5">
        <v>200.11821367004</v>
      </c>
    </row>
    <row r="968">
      <c r="A968" s="5">
        <v>966.0</v>
      </c>
      <c r="B968" s="6">
        <v>44984.0</v>
      </c>
      <c r="C968" s="5">
        <v>202.019492698637</v>
      </c>
      <c r="D968" s="5">
        <v>158.440576387729</v>
      </c>
      <c r="E968" s="5">
        <v>235.912098029519</v>
      </c>
      <c r="F968" s="5">
        <v>202.019492698637</v>
      </c>
      <c r="G968" s="5">
        <v>202.019492698637</v>
      </c>
      <c r="H968" s="5">
        <v>-5.65535277770723</v>
      </c>
      <c r="I968" s="5">
        <v>-5.65535277770723</v>
      </c>
      <c r="J968" s="5">
        <v>-5.65535277770723</v>
      </c>
      <c r="K968" s="5">
        <v>1.16457933345169</v>
      </c>
      <c r="L968" s="5">
        <v>1.16457933345169</v>
      </c>
      <c r="M968" s="5">
        <v>1.16457933345169</v>
      </c>
      <c r="N968" s="5">
        <v>-6.81993211115892</v>
      </c>
      <c r="O968" s="5">
        <v>-6.81993211115892</v>
      </c>
      <c r="P968" s="5">
        <v>-6.81993211115892</v>
      </c>
      <c r="Q968" s="5">
        <v>0.0</v>
      </c>
      <c r="R968" s="5">
        <v>0.0</v>
      </c>
      <c r="S968" s="5">
        <v>0.0</v>
      </c>
      <c r="T968" s="5">
        <v>196.36413992093</v>
      </c>
    </row>
    <row r="969">
      <c r="A969" s="5">
        <v>967.0</v>
      </c>
      <c r="B969" s="6">
        <v>44985.0</v>
      </c>
      <c r="C969" s="5">
        <v>202.133315978772</v>
      </c>
      <c r="D969" s="5">
        <v>151.499330745064</v>
      </c>
      <c r="E969" s="5">
        <v>236.66250294755</v>
      </c>
      <c r="F969" s="5">
        <v>202.133315978772</v>
      </c>
      <c r="G969" s="5">
        <v>202.133315978772</v>
      </c>
      <c r="H969" s="5">
        <v>-8.58181583717883</v>
      </c>
      <c r="I969" s="5">
        <v>-8.58181583717883</v>
      </c>
      <c r="J969" s="5">
        <v>-8.58181583717883</v>
      </c>
      <c r="K969" s="5">
        <v>0.247324772139781</v>
      </c>
      <c r="L969" s="5">
        <v>0.247324772139781</v>
      </c>
      <c r="M969" s="5">
        <v>0.247324772139781</v>
      </c>
      <c r="N969" s="5">
        <v>-8.82914060931861</v>
      </c>
      <c r="O969" s="5">
        <v>-8.82914060931861</v>
      </c>
      <c r="P969" s="5">
        <v>-8.82914060931861</v>
      </c>
      <c r="Q969" s="5">
        <v>0.0</v>
      </c>
      <c r="R969" s="5">
        <v>0.0</v>
      </c>
      <c r="S969" s="5">
        <v>0.0</v>
      </c>
      <c r="T969" s="5">
        <v>193.551500141593</v>
      </c>
    </row>
    <row r="970">
      <c r="A970" s="5">
        <v>968.0</v>
      </c>
      <c r="B970" s="6">
        <v>44986.0</v>
      </c>
      <c r="C970" s="5">
        <v>202.247139268072</v>
      </c>
      <c r="D970" s="5">
        <v>153.647995938544</v>
      </c>
      <c r="E970" s="5">
        <v>231.989903636211</v>
      </c>
      <c r="F970" s="5">
        <v>202.247139268072</v>
      </c>
      <c r="G970" s="5">
        <v>202.247139268072</v>
      </c>
      <c r="H970" s="5">
        <v>-10.1787873785744</v>
      </c>
      <c r="I970" s="5">
        <v>-10.1787873785744</v>
      </c>
      <c r="J970" s="5">
        <v>-10.1787873785744</v>
      </c>
      <c r="K970" s="5">
        <v>0.608132553628489</v>
      </c>
      <c r="L970" s="5">
        <v>0.608132553628489</v>
      </c>
      <c r="M970" s="5">
        <v>0.608132553628489</v>
      </c>
      <c r="N970" s="5">
        <v>-10.7869199322028</v>
      </c>
      <c r="O970" s="5">
        <v>-10.7869199322028</v>
      </c>
      <c r="P970" s="5">
        <v>-10.7869199322028</v>
      </c>
      <c r="Q970" s="5">
        <v>0.0</v>
      </c>
      <c r="R970" s="5">
        <v>0.0</v>
      </c>
      <c r="S970" s="5">
        <v>0.0</v>
      </c>
      <c r="T970" s="5">
        <v>192.068351889498</v>
      </c>
    </row>
    <row r="971">
      <c r="A971" s="5">
        <v>969.0</v>
      </c>
      <c r="B971" s="6">
        <v>44987.0</v>
      </c>
      <c r="C971" s="5">
        <v>202.360962557373</v>
      </c>
      <c r="D971" s="5">
        <v>148.330396573526</v>
      </c>
      <c r="E971" s="5">
        <v>229.333898274059</v>
      </c>
      <c r="F971" s="5">
        <v>202.360962557373</v>
      </c>
      <c r="G971" s="5">
        <v>202.360962557373</v>
      </c>
      <c r="H971" s="5">
        <v>-12.8860125378971</v>
      </c>
      <c r="I971" s="5">
        <v>-12.8860125378971</v>
      </c>
      <c r="J971" s="5">
        <v>-12.8860125378971</v>
      </c>
      <c r="K971" s="5">
        <v>-0.225417905351014</v>
      </c>
      <c r="L971" s="5">
        <v>-0.225417905351014</v>
      </c>
      <c r="M971" s="5">
        <v>-0.225417905351014</v>
      </c>
      <c r="N971" s="5">
        <v>-12.6605946325461</v>
      </c>
      <c r="O971" s="5">
        <v>-12.6605946325461</v>
      </c>
      <c r="P971" s="5">
        <v>-12.6605946325461</v>
      </c>
      <c r="Q971" s="5">
        <v>0.0</v>
      </c>
      <c r="R971" s="5">
        <v>0.0</v>
      </c>
      <c r="S971" s="5">
        <v>0.0</v>
      </c>
      <c r="T971" s="5">
        <v>189.474950019476</v>
      </c>
    </row>
    <row r="972">
      <c r="A972" s="5">
        <v>970.0</v>
      </c>
      <c r="B972" s="6">
        <v>44988.0</v>
      </c>
      <c r="C972" s="5">
        <v>202.474785846673</v>
      </c>
      <c r="D972" s="5">
        <v>146.216934753418</v>
      </c>
      <c r="E972" s="5">
        <v>228.210080014281</v>
      </c>
      <c r="F972" s="5">
        <v>202.474785846673</v>
      </c>
      <c r="G972" s="5">
        <v>202.474785846673</v>
      </c>
      <c r="H972" s="5">
        <v>-15.1588384508892</v>
      </c>
      <c r="I972" s="5">
        <v>-15.1588384508892</v>
      </c>
      <c r="J972" s="5">
        <v>-15.1588384508892</v>
      </c>
      <c r="K972" s="5">
        <v>-0.739640081280334</v>
      </c>
      <c r="L972" s="5">
        <v>-0.739640081280334</v>
      </c>
      <c r="M972" s="5">
        <v>-0.739640081280334</v>
      </c>
      <c r="N972" s="5">
        <v>-14.4191983696089</v>
      </c>
      <c r="O972" s="5">
        <v>-14.4191983696089</v>
      </c>
      <c r="P972" s="5">
        <v>-14.4191983696089</v>
      </c>
      <c r="Q972" s="5">
        <v>0.0</v>
      </c>
      <c r="R972" s="5">
        <v>0.0</v>
      </c>
      <c r="S972" s="5">
        <v>0.0</v>
      </c>
      <c r="T972" s="5">
        <v>187.315947395784</v>
      </c>
    </row>
    <row r="973">
      <c r="A973" s="5">
        <v>971.0</v>
      </c>
      <c r="B973" s="6">
        <v>44991.0</v>
      </c>
      <c r="C973" s="5">
        <v>202.816255714574</v>
      </c>
      <c r="D973" s="5">
        <v>146.007106047762</v>
      </c>
      <c r="E973" s="5">
        <v>226.788821696681</v>
      </c>
      <c r="F973" s="5">
        <v>202.816255714574</v>
      </c>
      <c r="G973" s="5">
        <v>202.816255714574</v>
      </c>
      <c r="H973" s="5">
        <v>-17.570368906806</v>
      </c>
      <c r="I973" s="5">
        <v>-17.570368906806</v>
      </c>
      <c r="J973" s="5">
        <v>-17.570368906806</v>
      </c>
      <c r="K973" s="5">
        <v>1.16457933345031</v>
      </c>
      <c r="L973" s="5">
        <v>1.16457933345031</v>
      </c>
      <c r="M973" s="5">
        <v>1.16457933345031</v>
      </c>
      <c r="N973" s="5">
        <v>-18.7349482402563</v>
      </c>
      <c r="O973" s="5">
        <v>-18.7349482402563</v>
      </c>
      <c r="P973" s="5">
        <v>-18.7349482402563</v>
      </c>
      <c r="Q973" s="5">
        <v>0.0</v>
      </c>
      <c r="R973" s="5">
        <v>0.0</v>
      </c>
      <c r="S973" s="5">
        <v>0.0</v>
      </c>
      <c r="T973" s="5">
        <v>185.245886807768</v>
      </c>
    </row>
    <row r="974">
      <c r="A974" s="5">
        <v>972.0</v>
      </c>
      <c r="B974" s="6">
        <v>44992.0</v>
      </c>
      <c r="C974" s="5">
        <v>202.930079003875</v>
      </c>
      <c r="D974" s="5">
        <v>142.145511567335</v>
      </c>
      <c r="E974" s="5">
        <v>224.084074699024</v>
      </c>
      <c r="F974" s="5">
        <v>202.930079003875</v>
      </c>
      <c r="G974" s="5">
        <v>202.930079003875</v>
      </c>
      <c r="H974" s="5">
        <v>-19.5337793099835</v>
      </c>
      <c r="I974" s="5">
        <v>-19.5337793099835</v>
      </c>
      <c r="J974" s="5">
        <v>-19.5337793099835</v>
      </c>
      <c r="K974" s="5">
        <v>0.247324772138447</v>
      </c>
      <c r="L974" s="5">
        <v>0.247324772138447</v>
      </c>
      <c r="M974" s="5">
        <v>0.247324772138447</v>
      </c>
      <c r="N974" s="5">
        <v>-19.7811040821219</v>
      </c>
      <c r="O974" s="5">
        <v>-19.7811040821219</v>
      </c>
      <c r="P974" s="5">
        <v>-19.7811040821219</v>
      </c>
      <c r="Q974" s="5">
        <v>0.0</v>
      </c>
      <c r="R974" s="5">
        <v>0.0</v>
      </c>
      <c r="S974" s="5">
        <v>0.0</v>
      </c>
      <c r="T974" s="5">
        <v>183.396299693891</v>
      </c>
    </row>
    <row r="975">
      <c r="A975" s="5">
        <v>973.0</v>
      </c>
      <c r="B975" s="6">
        <v>44993.0</v>
      </c>
      <c r="C975" s="5">
        <v>203.043902293175</v>
      </c>
      <c r="D975" s="5">
        <v>140.739838609714</v>
      </c>
      <c r="E975" s="5">
        <v>224.029661558174</v>
      </c>
      <c r="F975" s="5">
        <v>203.043902293175</v>
      </c>
      <c r="G975" s="5">
        <v>203.043902293175</v>
      </c>
      <c r="H975" s="5">
        <v>-19.9970905897493</v>
      </c>
      <c r="I975" s="5">
        <v>-19.9970905897493</v>
      </c>
      <c r="J975" s="5">
        <v>-19.9970905897493</v>
      </c>
      <c r="K975" s="5">
        <v>0.608132553624931</v>
      </c>
      <c r="L975" s="5">
        <v>0.608132553624931</v>
      </c>
      <c r="M975" s="5">
        <v>0.608132553624931</v>
      </c>
      <c r="N975" s="5">
        <v>-20.6052231433742</v>
      </c>
      <c r="O975" s="5">
        <v>-20.6052231433742</v>
      </c>
      <c r="P975" s="5">
        <v>-20.6052231433742</v>
      </c>
      <c r="Q975" s="5">
        <v>0.0</v>
      </c>
      <c r="R975" s="5">
        <v>0.0</v>
      </c>
      <c r="S975" s="5">
        <v>0.0</v>
      </c>
      <c r="T975" s="5">
        <v>183.046811703426</v>
      </c>
    </row>
    <row r="976">
      <c r="A976" s="5">
        <v>974.0</v>
      </c>
      <c r="B976" s="6">
        <v>44994.0</v>
      </c>
      <c r="C976" s="5">
        <v>203.157725582475</v>
      </c>
      <c r="D976" s="5">
        <v>142.26750266873</v>
      </c>
      <c r="E976" s="5">
        <v>218.489613276848</v>
      </c>
      <c r="F976" s="5">
        <v>203.157725582475</v>
      </c>
      <c r="G976" s="5">
        <v>203.157725582475</v>
      </c>
      <c r="H976" s="5">
        <v>-21.4241523782033</v>
      </c>
      <c r="I976" s="5">
        <v>-21.4241523782033</v>
      </c>
      <c r="J976" s="5">
        <v>-21.4241523782033</v>
      </c>
      <c r="K976" s="5">
        <v>-0.225417905347207</v>
      </c>
      <c r="L976" s="5">
        <v>-0.225417905347207</v>
      </c>
      <c r="M976" s="5">
        <v>-0.225417905347207</v>
      </c>
      <c r="N976" s="5">
        <v>-21.1987344728561</v>
      </c>
      <c r="O976" s="5">
        <v>-21.1987344728561</v>
      </c>
      <c r="P976" s="5">
        <v>-21.1987344728561</v>
      </c>
      <c r="Q976" s="5">
        <v>0.0</v>
      </c>
      <c r="R976" s="5">
        <v>0.0</v>
      </c>
      <c r="S976" s="5">
        <v>0.0</v>
      </c>
      <c r="T976" s="5">
        <v>181.733573204272</v>
      </c>
    </row>
    <row r="977">
      <c r="A977" s="5">
        <v>975.0</v>
      </c>
      <c r="B977" s="6">
        <v>44995.0</v>
      </c>
      <c r="C977" s="5">
        <v>203.271548871776</v>
      </c>
      <c r="D977" s="5">
        <v>140.839739743317</v>
      </c>
      <c r="E977" s="5">
        <v>222.019935467635</v>
      </c>
      <c r="F977" s="5">
        <v>203.271548871776</v>
      </c>
      <c r="G977" s="5">
        <v>203.271548871776</v>
      </c>
      <c r="H977" s="5">
        <v>-22.2975722660459</v>
      </c>
      <c r="I977" s="5">
        <v>-22.2975722660459</v>
      </c>
      <c r="J977" s="5">
        <v>-22.2975722660459</v>
      </c>
      <c r="K977" s="5">
        <v>-0.73964008128149</v>
      </c>
      <c r="L977" s="5">
        <v>-0.73964008128149</v>
      </c>
      <c r="M977" s="5">
        <v>-0.73964008128149</v>
      </c>
      <c r="N977" s="5">
        <v>-21.5579321847644</v>
      </c>
      <c r="O977" s="5">
        <v>-21.5579321847644</v>
      </c>
      <c r="P977" s="5">
        <v>-21.5579321847644</v>
      </c>
      <c r="Q977" s="5">
        <v>0.0</v>
      </c>
      <c r="R977" s="5">
        <v>0.0</v>
      </c>
      <c r="S977" s="5">
        <v>0.0</v>
      </c>
      <c r="T977" s="5">
        <v>180.97397660573</v>
      </c>
    </row>
    <row r="978">
      <c r="A978" s="5">
        <v>976.0</v>
      </c>
      <c r="B978" s="6">
        <v>44998.0</v>
      </c>
      <c r="C978" s="5">
        <v>203.613018739677</v>
      </c>
      <c r="D978" s="5">
        <v>144.391691542641</v>
      </c>
      <c r="E978" s="5">
        <v>224.31944557153</v>
      </c>
      <c r="F978" s="5">
        <v>203.613018739677</v>
      </c>
      <c r="G978" s="5">
        <v>203.613018739677</v>
      </c>
      <c r="H978" s="5">
        <v>-20.100558667083</v>
      </c>
      <c r="I978" s="5">
        <v>-20.100558667083</v>
      </c>
      <c r="J978" s="5">
        <v>-20.100558667083</v>
      </c>
      <c r="K978" s="5">
        <v>1.16457933345065</v>
      </c>
      <c r="L978" s="5">
        <v>1.16457933345065</v>
      </c>
      <c r="M978" s="5">
        <v>1.16457933345065</v>
      </c>
      <c r="N978" s="5">
        <v>-21.2651380005336</v>
      </c>
      <c r="O978" s="5">
        <v>-21.2651380005336</v>
      </c>
      <c r="P978" s="5">
        <v>-21.2651380005336</v>
      </c>
      <c r="Q978" s="5">
        <v>0.0</v>
      </c>
      <c r="R978" s="5">
        <v>0.0</v>
      </c>
      <c r="S978" s="5">
        <v>0.0</v>
      </c>
      <c r="T978" s="5">
        <v>183.512460072594</v>
      </c>
    </row>
    <row r="979">
      <c r="A979" s="5">
        <v>977.0</v>
      </c>
      <c r="B979" s="6">
        <v>44999.0</v>
      </c>
      <c r="C979" s="5">
        <v>203.726842028977</v>
      </c>
      <c r="D979" s="5">
        <v>144.785718500462</v>
      </c>
      <c r="E979" s="5">
        <v>222.37593634297</v>
      </c>
      <c r="F979" s="5">
        <v>203.726842028977</v>
      </c>
      <c r="G979" s="5">
        <v>203.726842028977</v>
      </c>
      <c r="H979" s="5">
        <v>-20.4982057500789</v>
      </c>
      <c r="I979" s="5">
        <v>-20.4982057500789</v>
      </c>
      <c r="J979" s="5">
        <v>-20.4982057500789</v>
      </c>
      <c r="K979" s="5">
        <v>0.247324772138535</v>
      </c>
      <c r="L979" s="5">
        <v>0.247324772138535</v>
      </c>
      <c r="M979" s="5">
        <v>0.247324772138535</v>
      </c>
      <c r="N979" s="5">
        <v>-20.7455305222174</v>
      </c>
      <c r="O979" s="5">
        <v>-20.7455305222174</v>
      </c>
      <c r="P979" s="5">
        <v>-20.7455305222174</v>
      </c>
      <c r="Q979" s="5">
        <v>0.0</v>
      </c>
      <c r="R979" s="5">
        <v>0.0</v>
      </c>
      <c r="S979" s="5">
        <v>0.0</v>
      </c>
      <c r="T979" s="5">
        <v>183.228636278898</v>
      </c>
    </row>
    <row r="980">
      <c r="A980" s="5">
        <v>978.0</v>
      </c>
      <c r="B980" s="6">
        <v>45000.0</v>
      </c>
      <c r="C980" s="5">
        <v>203.840665318277</v>
      </c>
      <c r="D980" s="5">
        <v>146.704137768023</v>
      </c>
      <c r="E980" s="5">
        <v>226.159912444252</v>
      </c>
      <c r="F980" s="5">
        <v>203.840665318277</v>
      </c>
      <c r="G980" s="5">
        <v>203.840665318277</v>
      </c>
      <c r="H980" s="5">
        <v>-19.4345342899527</v>
      </c>
      <c r="I980" s="5">
        <v>-19.4345342899527</v>
      </c>
      <c r="J980" s="5">
        <v>-19.4345342899527</v>
      </c>
      <c r="K980" s="5">
        <v>0.608132553626709</v>
      </c>
      <c r="L980" s="5">
        <v>0.608132553626709</v>
      </c>
      <c r="M980" s="5">
        <v>0.608132553626709</v>
      </c>
      <c r="N980" s="5">
        <v>-20.0426668435794</v>
      </c>
      <c r="O980" s="5">
        <v>-20.0426668435794</v>
      </c>
      <c r="P980" s="5">
        <v>-20.0426668435794</v>
      </c>
      <c r="Q980" s="5">
        <v>0.0</v>
      </c>
      <c r="R980" s="5">
        <v>0.0</v>
      </c>
      <c r="S980" s="5">
        <v>0.0</v>
      </c>
      <c r="T980" s="5">
        <v>184.406131028325</v>
      </c>
    </row>
    <row r="981">
      <c r="A981" s="5">
        <v>979.0</v>
      </c>
      <c r="B981" s="6">
        <v>45001.0</v>
      </c>
      <c r="C981" s="5">
        <v>203.954488607578</v>
      </c>
      <c r="D981" s="5">
        <v>143.667612802152</v>
      </c>
      <c r="E981" s="5">
        <v>224.674855294124</v>
      </c>
      <c r="F981" s="5">
        <v>203.954488607578</v>
      </c>
      <c r="G981" s="5">
        <v>203.954488607578</v>
      </c>
      <c r="H981" s="5">
        <v>-19.4038841812389</v>
      </c>
      <c r="I981" s="5">
        <v>-19.4038841812389</v>
      </c>
      <c r="J981" s="5">
        <v>-19.4038841812389</v>
      </c>
      <c r="K981" s="5">
        <v>-0.225417905350172</v>
      </c>
      <c r="L981" s="5">
        <v>-0.225417905350172</v>
      </c>
      <c r="M981" s="5">
        <v>-0.225417905350172</v>
      </c>
      <c r="N981" s="5">
        <v>-19.1784662758887</v>
      </c>
      <c r="O981" s="5">
        <v>-19.1784662758887</v>
      </c>
      <c r="P981" s="5">
        <v>-19.1784662758887</v>
      </c>
      <c r="Q981" s="5">
        <v>0.0</v>
      </c>
      <c r="R981" s="5">
        <v>0.0</v>
      </c>
      <c r="S981" s="5">
        <v>0.0</v>
      </c>
      <c r="T981" s="5">
        <v>184.550604426339</v>
      </c>
    </row>
    <row r="982">
      <c r="A982" s="5">
        <v>980.0</v>
      </c>
      <c r="B982" s="6">
        <v>45002.0</v>
      </c>
      <c r="C982" s="5">
        <v>204.068311896878</v>
      </c>
      <c r="D982" s="5">
        <v>143.243555214991</v>
      </c>
      <c r="E982" s="5">
        <v>224.296363606807</v>
      </c>
      <c r="F982" s="5">
        <v>204.068311896878</v>
      </c>
      <c r="G982" s="5">
        <v>204.068311896878</v>
      </c>
      <c r="H982" s="5">
        <v>-18.9172236408515</v>
      </c>
      <c r="I982" s="5">
        <v>-18.9172236408515</v>
      </c>
      <c r="J982" s="5">
        <v>-18.9172236408515</v>
      </c>
      <c r="K982" s="5">
        <v>-0.739640081282645</v>
      </c>
      <c r="L982" s="5">
        <v>-0.739640081282645</v>
      </c>
      <c r="M982" s="5">
        <v>-0.739640081282645</v>
      </c>
      <c r="N982" s="5">
        <v>-18.1775835595689</v>
      </c>
      <c r="O982" s="5">
        <v>-18.1775835595689</v>
      </c>
      <c r="P982" s="5">
        <v>-18.1775835595689</v>
      </c>
      <c r="Q982" s="5">
        <v>0.0</v>
      </c>
      <c r="R982" s="5">
        <v>0.0</v>
      </c>
      <c r="S982" s="5">
        <v>0.0</v>
      </c>
      <c r="T982" s="5">
        <v>185.151088256027</v>
      </c>
    </row>
    <row r="983">
      <c r="A983" s="5">
        <v>981.0</v>
      </c>
      <c r="B983" s="6">
        <v>45005.0</v>
      </c>
      <c r="C983" s="5">
        <v>204.409781764779</v>
      </c>
      <c r="D983" s="5">
        <v>149.061632284852</v>
      </c>
      <c r="E983" s="5">
        <v>231.753705784523</v>
      </c>
      <c r="F983" s="5">
        <v>204.409781764779</v>
      </c>
      <c r="G983" s="5">
        <v>204.409781764779</v>
      </c>
      <c r="H983" s="5">
        <v>-13.4642244175416</v>
      </c>
      <c r="I983" s="5">
        <v>-13.4642244175416</v>
      </c>
      <c r="J983" s="5">
        <v>-13.4642244175416</v>
      </c>
      <c r="K983" s="5">
        <v>1.16457933345109</v>
      </c>
      <c r="L983" s="5">
        <v>1.16457933345109</v>
      </c>
      <c r="M983" s="5">
        <v>1.16457933345109</v>
      </c>
      <c r="N983" s="5">
        <v>-14.6288037509927</v>
      </c>
      <c r="O983" s="5">
        <v>-14.6288037509927</v>
      </c>
      <c r="P983" s="5">
        <v>-14.6288037509927</v>
      </c>
      <c r="Q983" s="5">
        <v>0.0</v>
      </c>
      <c r="R983" s="5">
        <v>0.0</v>
      </c>
      <c r="S983" s="5">
        <v>0.0</v>
      </c>
      <c r="T983" s="5">
        <v>190.945557347238</v>
      </c>
    </row>
    <row r="984">
      <c r="A984" s="5">
        <v>982.0</v>
      </c>
      <c r="B984" s="6">
        <v>45006.0</v>
      </c>
      <c r="C984" s="5">
        <v>204.52360505408</v>
      </c>
      <c r="D984" s="5">
        <v>150.814361878465</v>
      </c>
      <c r="E984" s="5">
        <v>234.083935070163</v>
      </c>
      <c r="F984" s="5">
        <v>204.52360505408</v>
      </c>
      <c r="G984" s="5">
        <v>204.52360505408</v>
      </c>
      <c r="H984" s="5">
        <v>-13.1121639232927</v>
      </c>
      <c r="I984" s="5">
        <v>-13.1121639232927</v>
      </c>
      <c r="J984" s="5">
        <v>-13.1121639232927</v>
      </c>
      <c r="K984" s="5">
        <v>0.247324772138623</v>
      </c>
      <c r="L984" s="5">
        <v>0.247324772138623</v>
      </c>
      <c r="M984" s="5">
        <v>0.247324772138623</v>
      </c>
      <c r="N984" s="5">
        <v>-13.3594886954313</v>
      </c>
      <c r="O984" s="5">
        <v>-13.3594886954313</v>
      </c>
      <c r="P984" s="5">
        <v>-13.3594886954313</v>
      </c>
      <c r="Q984" s="5">
        <v>0.0</v>
      </c>
      <c r="R984" s="5">
        <v>0.0</v>
      </c>
      <c r="S984" s="5">
        <v>0.0</v>
      </c>
      <c r="T984" s="5">
        <v>191.411441130787</v>
      </c>
    </row>
    <row r="985">
      <c r="A985" s="5">
        <v>983.0</v>
      </c>
      <c r="B985" s="6">
        <v>45007.0</v>
      </c>
      <c r="C985" s="5">
        <v>204.63742834338</v>
      </c>
      <c r="D985" s="5">
        <v>155.072541573787</v>
      </c>
      <c r="E985" s="5">
        <v>233.065830556107</v>
      </c>
      <c r="F985" s="5">
        <v>204.63742834338</v>
      </c>
      <c r="G985" s="5">
        <v>204.63742834338</v>
      </c>
      <c r="H985" s="5">
        <v>-11.4864183803826</v>
      </c>
      <c r="I985" s="5">
        <v>-11.4864183803826</v>
      </c>
      <c r="J985" s="5">
        <v>-11.4864183803826</v>
      </c>
      <c r="K985" s="5">
        <v>0.608132553627374</v>
      </c>
      <c r="L985" s="5">
        <v>0.608132553627374</v>
      </c>
      <c r="M985" s="5">
        <v>0.608132553627374</v>
      </c>
      <c r="N985" s="5">
        <v>-12.0945509340099</v>
      </c>
      <c r="O985" s="5">
        <v>-12.0945509340099</v>
      </c>
      <c r="P985" s="5">
        <v>-12.0945509340099</v>
      </c>
      <c r="Q985" s="5">
        <v>0.0</v>
      </c>
      <c r="R985" s="5">
        <v>0.0</v>
      </c>
      <c r="S985" s="5">
        <v>0.0</v>
      </c>
      <c r="T985" s="5">
        <v>193.151009962997</v>
      </c>
    </row>
    <row r="986">
      <c r="A986" s="5">
        <v>984.0</v>
      </c>
      <c r="B986" s="6">
        <v>45008.0</v>
      </c>
      <c r="C986" s="5">
        <v>204.75125163268</v>
      </c>
      <c r="D986" s="5">
        <v>155.745658805186</v>
      </c>
      <c r="E986" s="5">
        <v>232.635597525038</v>
      </c>
      <c r="F986" s="5">
        <v>204.75125163268</v>
      </c>
      <c r="G986" s="5">
        <v>204.75125163268</v>
      </c>
      <c r="H986" s="5">
        <v>-11.0863950647622</v>
      </c>
      <c r="I986" s="5">
        <v>-11.0863950647622</v>
      </c>
      <c r="J986" s="5">
        <v>-11.0863950647622</v>
      </c>
      <c r="K986" s="5">
        <v>-0.225417905353137</v>
      </c>
      <c r="L986" s="5">
        <v>-0.225417905353137</v>
      </c>
      <c r="M986" s="5">
        <v>-0.225417905353137</v>
      </c>
      <c r="N986" s="5">
        <v>-10.8609771594091</v>
      </c>
      <c r="O986" s="5">
        <v>-10.8609771594091</v>
      </c>
      <c r="P986" s="5">
        <v>-10.8609771594091</v>
      </c>
      <c r="Q986" s="5">
        <v>0.0</v>
      </c>
      <c r="R986" s="5">
        <v>0.0</v>
      </c>
      <c r="S986" s="5">
        <v>0.0</v>
      </c>
      <c r="T986" s="5">
        <v>193.664856567918</v>
      </c>
    </row>
    <row r="987">
      <c r="A987" s="5">
        <v>985.0</v>
      </c>
      <c r="B987" s="6">
        <v>45009.0</v>
      </c>
      <c r="C987" s="5">
        <v>204.865074921981</v>
      </c>
      <c r="D987" s="5">
        <v>153.364513069727</v>
      </c>
      <c r="E987" s="5">
        <v>236.145171187342</v>
      </c>
      <c r="F987" s="5">
        <v>204.865074921981</v>
      </c>
      <c r="G987" s="5">
        <v>204.865074921981</v>
      </c>
      <c r="H987" s="5">
        <v>-10.4234972717591</v>
      </c>
      <c r="I987" s="5">
        <v>-10.4234972717591</v>
      </c>
      <c r="J987" s="5">
        <v>-10.4234972717591</v>
      </c>
      <c r="K987" s="5">
        <v>-0.739640081280369</v>
      </c>
      <c r="L987" s="5">
        <v>-0.739640081280369</v>
      </c>
      <c r="M987" s="5">
        <v>-0.739640081280369</v>
      </c>
      <c r="N987" s="5">
        <v>-9.68385719047879</v>
      </c>
      <c r="O987" s="5">
        <v>-9.68385719047879</v>
      </c>
      <c r="P987" s="5">
        <v>-9.68385719047879</v>
      </c>
      <c r="Q987" s="5">
        <v>0.0</v>
      </c>
      <c r="R987" s="5">
        <v>0.0</v>
      </c>
      <c r="S987" s="5">
        <v>0.0</v>
      </c>
      <c r="T987" s="5">
        <v>194.441577650222</v>
      </c>
    </row>
    <row r="988">
      <c r="A988" s="5">
        <v>986.0</v>
      </c>
      <c r="B988" s="6">
        <v>45012.0</v>
      </c>
      <c r="C988" s="5">
        <v>205.206544789882</v>
      </c>
      <c r="D988" s="5">
        <v>156.7699817326</v>
      </c>
      <c r="E988" s="5">
        <v>239.559018007775</v>
      </c>
      <c r="F988" s="5">
        <v>205.206544789882</v>
      </c>
      <c r="G988" s="5">
        <v>205.206544789882</v>
      </c>
      <c r="H988" s="5">
        <v>-5.53843931394155</v>
      </c>
      <c r="I988" s="5">
        <v>-5.53843931394155</v>
      </c>
      <c r="J988" s="5">
        <v>-5.53843931394155</v>
      </c>
      <c r="K988" s="5">
        <v>1.1645793334496</v>
      </c>
      <c r="L988" s="5">
        <v>1.1645793334496</v>
      </c>
      <c r="M988" s="5">
        <v>1.1645793334496</v>
      </c>
      <c r="N988" s="5">
        <v>-6.70301864739115</v>
      </c>
      <c r="O988" s="5">
        <v>-6.70301864739115</v>
      </c>
      <c r="P988" s="5">
        <v>-6.70301864739115</v>
      </c>
      <c r="Q988" s="5">
        <v>0.0</v>
      </c>
      <c r="R988" s="5">
        <v>0.0</v>
      </c>
      <c r="S988" s="5">
        <v>0.0</v>
      </c>
      <c r="T988" s="5">
        <v>199.66810547594</v>
      </c>
    </row>
    <row r="989">
      <c r="A989" s="5">
        <v>987.0</v>
      </c>
      <c r="B989" s="6">
        <v>45013.0</v>
      </c>
      <c r="C989" s="5">
        <v>205.320368079182</v>
      </c>
      <c r="D989" s="5">
        <v>159.004591299185</v>
      </c>
      <c r="E989" s="5">
        <v>237.420924488341</v>
      </c>
      <c r="F989" s="5">
        <v>205.320368079182</v>
      </c>
      <c r="G989" s="5">
        <v>205.320368079182</v>
      </c>
      <c r="H989" s="5">
        <v>-5.70038133904477</v>
      </c>
      <c r="I989" s="5">
        <v>-5.70038133904477</v>
      </c>
      <c r="J989" s="5">
        <v>-5.70038133904477</v>
      </c>
      <c r="K989" s="5">
        <v>0.247324772138712</v>
      </c>
      <c r="L989" s="5">
        <v>0.247324772138712</v>
      </c>
      <c r="M989" s="5">
        <v>0.247324772138712</v>
      </c>
      <c r="N989" s="5">
        <v>-5.94770611118348</v>
      </c>
      <c r="O989" s="5">
        <v>-5.94770611118348</v>
      </c>
      <c r="P989" s="5">
        <v>-5.94770611118348</v>
      </c>
      <c r="Q989" s="5">
        <v>0.0</v>
      </c>
      <c r="R989" s="5">
        <v>0.0</v>
      </c>
      <c r="S989" s="5">
        <v>0.0</v>
      </c>
      <c r="T989" s="5">
        <v>199.619986740137</v>
      </c>
    </row>
    <row r="990">
      <c r="A990" s="5">
        <v>988.0</v>
      </c>
      <c r="B990" s="6">
        <v>45014.0</v>
      </c>
      <c r="C990" s="5">
        <v>205.434191368482</v>
      </c>
      <c r="D990" s="5">
        <v>158.64588372181</v>
      </c>
      <c r="E990" s="5">
        <v>240.162832676067</v>
      </c>
      <c r="F990" s="5">
        <v>205.434191368482</v>
      </c>
      <c r="G990" s="5">
        <v>205.434191368482</v>
      </c>
      <c r="H990" s="5">
        <v>-4.72195678631294</v>
      </c>
      <c r="I990" s="5">
        <v>-4.72195678631294</v>
      </c>
      <c r="J990" s="5">
        <v>-4.72195678631294</v>
      </c>
      <c r="K990" s="5">
        <v>0.608132553629153</v>
      </c>
      <c r="L990" s="5">
        <v>0.608132553629153</v>
      </c>
      <c r="M990" s="5">
        <v>0.608132553629153</v>
      </c>
      <c r="N990" s="5">
        <v>-5.33008933994209</v>
      </c>
      <c r="O990" s="5">
        <v>-5.33008933994209</v>
      </c>
      <c r="P990" s="5">
        <v>-5.33008933994209</v>
      </c>
      <c r="Q990" s="5">
        <v>0.0</v>
      </c>
      <c r="R990" s="5">
        <v>0.0</v>
      </c>
      <c r="S990" s="5">
        <v>0.0</v>
      </c>
      <c r="T990" s="5">
        <v>200.71223458217</v>
      </c>
    </row>
    <row r="991">
      <c r="A991" s="5">
        <v>989.0</v>
      </c>
      <c r="B991" s="6">
        <v>45015.0</v>
      </c>
      <c r="C991" s="5">
        <v>205.548014657783</v>
      </c>
      <c r="D991" s="5">
        <v>158.796237412279</v>
      </c>
      <c r="E991" s="5">
        <v>238.987117731488</v>
      </c>
      <c r="F991" s="5">
        <v>205.548014657783</v>
      </c>
      <c r="G991" s="5">
        <v>205.548014657783</v>
      </c>
      <c r="H991" s="5">
        <v>-5.081115865169</v>
      </c>
      <c r="I991" s="5">
        <v>-5.081115865169</v>
      </c>
      <c r="J991" s="5">
        <v>-5.081115865169</v>
      </c>
      <c r="K991" s="5">
        <v>-0.225417905347404</v>
      </c>
      <c r="L991" s="5">
        <v>-0.225417905347404</v>
      </c>
      <c r="M991" s="5">
        <v>-0.225417905347404</v>
      </c>
      <c r="N991" s="5">
        <v>-4.8556979598216</v>
      </c>
      <c r="O991" s="5">
        <v>-4.8556979598216</v>
      </c>
      <c r="P991" s="5">
        <v>-4.8556979598216</v>
      </c>
      <c r="Q991" s="5">
        <v>0.0</v>
      </c>
      <c r="R991" s="5">
        <v>0.0</v>
      </c>
      <c r="S991" s="5">
        <v>0.0</v>
      </c>
      <c r="T991" s="5">
        <v>200.466898792614</v>
      </c>
    </row>
    <row r="992">
      <c r="A992" s="5">
        <v>990.0</v>
      </c>
      <c r="B992" s="6">
        <v>45016.0</v>
      </c>
      <c r="C992" s="5">
        <v>205.661837947083</v>
      </c>
      <c r="D992" s="5">
        <v>157.891169254127</v>
      </c>
      <c r="E992" s="5">
        <v>241.249729857345</v>
      </c>
      <c r="F992" s="5">
        <v>205.661837947083</v>
      </c>
      <c r="G992" s="5">
        <v>205.661837947083</v>
      </c>
      <c r="H992" s="5">
        <v>-5.26596982169614</v>
      </c>
      <c r="I992" s="5">
        <v>-5.26596982169614</v>
      </c>
      <c r="J992" s="5">
        <v>-5.26596982169614</v>
      </c>
      <c r="K992" s="5">
        <v>-0.739640081284956</v>
      </c>
      <c r="L992" s="5">
        <v>-0.739640081284956</v>
      </c>
      <c r="M992" s="5">
        <v>-0.739640081284956</v>
      </c>
      <c r="N992" s="5">
        <v>-4.52632974041118</v>
      </c>
      <c r="O992" s="5">
        <v>-4.52632974041118</v>
      </c>
      <c r="P992" s="5">
        <v>-4.52632974041118</v>
      </c>
      <c r="Q992" s="5">
        <v>0.0</v>
      </c>
      <c r="R992" s="5">
        <v>0.0</v>
      </c>
      <c r="S992" s="5">
        <v>0.0</v>
      </c>
      <c r="T992" s="5">
        <v>200.395868125387</v>
      </c>
    </row>
    <row r="993">
      <c r="A993" s="5">
        <v>991.0</v>
      </c>
      <c r="B993" s="6">
        <v>45019.0</v>
      </c>
      <c r="C993" s="5">
        <v>206.003307814984</v>
      </c>
      <c r="D993" s="5">
        <v>162.985208015991</v>
      </c>
      <c r="E993" s="5">
        <v>243.441652721419</v>
      </c>
      <c r="F993" s="5">
        <v>206.003307814984</v>
      </c>
      <c r="G993" s="5">
        <v>206.003307814984</v>
      </c>
      <c r="H993" s="5">
        <v>-3.20922497345126</v>
      </c>
      <c r="I993" s="5">
        <v>-3.20922497345126</v>
      </c>
      <c r="J993" s="5">
        <v>-3.20922497345126</v>
      </c>
      <c r="K993" s="5">
        <v>1.16457933344993</v>
      </c>
      <c r="L993" s="5">
        <v>1.16457933344993</v>
      </c>
      <c r="M993" s="5">
        <v>1.16457933344993</v>
      </c>
      <c r="N993" s="5">
        <v>-4.3738043069012</v>
      </c>
      <c r="O993" s="5">
        <v>-4.3738043069012</v>
      </c>
      <c r="P993" s="5">
        <v>-4.3738043069012</v>
      </c>
      <c r="Q993" s="5">
        <v>0.0</v>
      </c>
      <c r="R993" s="5">
        <v>0.0</v>
      </c>
      <c r="S993" s="5">
        <v>0.0</v>
      </c>
      <c r="T993" s="5">
        <v>202.794082841533</v>
      </c>
    </row>
    <row r="994">
      <c r="A994" s="5">
        <v>992.0</v>
      </c>
      <c r="B994" s="6">
        <v>45020.0</v>
      </c>
      <c r="C994" s="5">
        <v>206.117131104285</v>
      </c>
      <c r="D994" s="5">
        <v>160.37266902787</v>
      </c>
      <c r="E994" s="5">
        <v>241.956721655395</v>
      </c>
      <c r="F994" s="5">
        <v>206.117131104285</v>
      </c>
      <c r="G994" s="5">
        <v>206.117131104285</v>
      </c>
      <c r="H994" s="5">
        <v>-4.32709837847526</v>
      </c>
      <c r="I994" s="5">
        <v>-4.32709837847526</v>
      </c>
      <c r="J994" s="5">
        <v>-4.32709837847526</v>
      </c>
      <c r="K994" s="5">
        <v>0.247324772137377</v>
      </c>
      <c r="L994" s="5">
        <v>0.247324772137377</v>
      </c>
      <c r="M994" s="5">
        <v>0.247324772137377</v>
      </c>
      <c r="N994" s="5">
        <v>-4.57442315061264</v>
      </c>
      <c r="O994" s="5">
        <v>-4.57442315061264</v>
      </c>
      <c r="P994" s="5">
        <v>-4.57442315061264</v>
      </c>
      <c r="Q994" s="5">
        <v>0.0</v>
      </c>
      <c r="R994" s="5">
        <v>0.0</v>
      </c>
      <c r="S994" s="5">
        <v>0.0</v>
      </c>
      <c r="T994" s="5">
        <v>201.790032725809</v>
      </c>
    </row>
    <row r="995">
      <c r="A995" s="5">
        <v>993.0</v>
      </c>
      <c r="B995" s="6">
        <v>45021.0</v>
      </c>
      <c r="C995" s="5">
        <v>206.230954393585</v>
      </c>
      <c r="D995" s="5">
        <v>161.466606524758</v>
      </c>
      <c r="E995" s="5">
        <v>244.306640276562</v>
      </c>
      <c r="F995" s="5">
        <v>206.230954393585</v>
      </c>
      <c r="G995" s="5">
        <v>206.230954393585</v>
      </c>
      <c r="H995" s="5">
        <v>-4.27266624988227</v>
      </c>
      <c r="I995" s="5">
        <v>-4.27266624988227</v>
      </c>
      <c r="J995" s="5">
        <v>-4.27266624988227</v>
      </c>
      <c r="K995" s="5">
        <v>0.608132553628263</v>
      </c>
      <c r="L995" s="5">
        <v>0.608132553628263</v>
      </c>
      <c r="M995" s="5">
        <v>0.608132553628263</v>
      </c>
      <c r="N995" s="5">
        <v>-4.88079880351053</v>
      </c>
      <c r="O995" s="5">
        <v>-4.88079880351053</v>
      </c>
      <c r="P995" s="5">
        <v>-4.88079880351053</v>
      </c>
      <c r="Q995" s="5">
        <v>0.0</v>
      </c>
      <c r="R995" s="5">
        <v>0.0</v>
      </c>
      <c r="S995" s="5">
        <v>0.0</v>
      </c>
      <c r="T995" s="5">
        <v>201.958288143703</v>
      </c>
    </row>
    <row r="996">
      <c r="A996" s="5">
        <v>994.0</v>
      </c>
      <c r="B996" s="6">
        <v>45022.0</v>
      </c>
      <c r="C996" s="5">
        <v>206.344777682885</v>
      </c>
      <c r="D996" s="5">
        <v>162.045797770431</v>
      </c>
      <c r="E996" s="5">
        <v>239.918162114639</v>
      </c>
      <c r="F996" s="5">
        <v>206.344777682885</v>
      </c>
      <c r="G996" s="5">
        <v>206.344777682885</v>
      </c>
      <c r="H996" s="5">
        <v>-5.50346436347795</v>
      </c>
      <c r="I996" s="5">
        <v>-5.50346436347795</v>
      </c>
      <c r="J996" s="5">
        <v>-5.50346436347795</v>
      </c>
      <c r="K996" s="5">
        <v>-0.225417905350369</v>
      </c>
      <c r="L996" s="5">
        <v>-0.225417905350369</v>
      </c>
      <c r="M996" s="5">
        <v>-0.225417905350369</v>
      </c>
      <c r="N996" s="5">
        <v>-5.27804645812758</v>
      </c>
      <c r="O996" s="5">
        <v>-5.27804645812758</v>
      </c>
      <c r="P996" s="5">
        <v>-5.27804645812758</v>
      </c>
      <c r="Q996" s="5">
        <v>0.0</v>
      </c>
      <c r="R996" s="5">
        <v>0.0</v>
      </c>
      <c r="S996" s="5">
        <v>0.0</v>
      </c>
      <c r="T996" s="5">
        <v>200.841313319407</v>
      </c>
    </row>
    <row r="997">
      <c r="A997" s="5">
        <v>995.0</v>
      </c>
      <c r="B997" s="6">
        <v>45026.0</v>
      </c>
      <c r="C997" s="5">
        <v>206.800070840087</v>
      </c>
      <c r="D997" s="5">
        <v>160.408286376187</v>
      </c>
      <c r="E997" s="5">
        <v>238.200662136022</v>
      </c>
      <c r="F997" s="5">
        <v>206.800070840087</v>
      </c>
      <c r="G997" s="5">
        <v>206.800070840087</v>
      </c>
      <c r="H997" s="5">
        <v>-6.28224286723947</v>
      </c>
      <c r="I997" s="5">
        <v>-6.28224286723947</v>
      </c>
      <c r="J997" s="5">
        <v>-6.28224286723947</v>
      </c>
      <c r="K997" s="5">
        <v>1.16457933345016</v>
      </c>
      <c r="L997" s="5">
        <v>1.16457933345016</v>
      </c>
      <c r="M997" s="5">
        <v>1.16457933345016</v>
      </c>
      <c r="N997" s="5">
        <v>-7.44682220068964</v>
      </c>
      <c r="O997" s="5">
        <v>-7.44682220068964</v>
      </c>
      <c r="P997" s="5">
        <v>-7.44682220068964</v>
      </c>
      <c r="Q997" s="5">
        <v>0.0</v>
      </c>
      <c r="R997" s="5">
        <v>0.0</v>
      </c>
      <c r="S997" s="5">
        <v>0.0</v>
      </c>
      <c r="T997" s="5">
        <v>200.517827972847</v>
      </c>
    </row>
    <row r="998">
      <c r="A998" s="5">
        <v>996.0</v>
      </c>
      <c r="B998" s="6">
        <v>45027.0</v>
      </c>
      <c r="C998" s="5">
        <v>206.913894129387</v>
      </c>
      <c r="D998" s="5">
        <v>161.345829967483</v>
      </c>
      <c r="E998" s="5">
        <v>240.149539606713</v>
      </c>
      <c r="F998" s="5">
        <v>206.913894129387</v>
      </c>
      <c r="G998" s="5">
        <v>206.913894129387</v>
      </c>
      <c r="H998" s="5">
        <v>-7.80406208012709</v>
      </c>
      <c r="I998" s="5">
        <v>-7.80406208012709</v>
      </c>
      <c r="J998" s="5">
        <v>-7.80406208012709</v>
      </c>
      <c r="K998" s="5">
        <v>0.247324772138888</v>
      </c>
      <c r="L998" s="5">
        <v>0.247324772138888</v>
      </c>
      <c r="M998" s="5">
        <v>0.247324772138888</v>
      </c>
      <c r="N998" s="5">
        <v>-8.05138685226598</v>
      </c>
      <c r="O998" s="5">
        <v>-8.05138685226598</v>
      </c>
      <c r="P998" s="5">
        <v>-8.05138685226598</v>
      </c>
      <c r="Q998" s="5">
        <v>0.0</v>
      </c>
      <c r="R998" s="5">
        <v>0.0</v>
      </c>
      <c r="S998" s="5">
        <v>0.0</v>
      </c>
      <c r="T998" s="5">
        <v>199.10983204926</v>
      </c>
    </row>
    <row r="999">
      <c r="A999" s="5">
        <v>997.0</v>
      </c>
      <c r="B999" s="6">
        <v>45028.0</v>
      </c>
      <c r="C999" s="5">
        <v>207.027717418687</v>
      </c>
      <c r="D999" s="5">
        <v>160.168437617751</v>
      </c>
      <c r="E999" s="5">
        <v>240.324022389051</v>
      </c>
      <c r="F999" s="5">
        <v>207.027717418687</v>
      </c>
      <c r="G999" s="5">
        <v>207.027717418687</v>
      </c>
      <c r="H999" s="5">
        <v>-8.04242393254632</v>
      </c>
      <c r="I999" s="5">
        <v>-8.04242393254632</v>
      </c>
      <c r="J999" s="5">
        <v>-8.04242393254632</v>
      </c>
      <c r="K999" s="5">
        <v>0.608132553627374</v>
      </c>
      <c r="L999" s="5">
        <v>0.608132553627374</v>
      </c>
      <c r="M999" s="5">
        <v>0.608132553627374</v>
      </c>
      <c r="N999" s="5">
        <v>-8.65055648617369</v>
      </c>
      <c r="O999" s="5">
        <v>-8.65055648617369</v>
      </c>
      <c r="P999" s="5">
        <v>-8.65055648617369</v>
      </c>
      <c r="Q999" s="5">
        <v>0.0</v>
      </c>
      <c r="R999" s="5">
        <v>0.0</v>
      </c>
      <c r="S999" s="5">
        <v>0.0</v>
      </c>
      <c r="T999" s="5">
        <v>198.985293486141</v>
      </c>
    </row>
    <row r="1000">
      <c r="A1000" s="5">
        <v>998.0</v>
      </c>
      <c r="B1000" s="6">
        <v>45029.0</v>
      </c>
      <c r="C1000" s="5">
        <v>207.141540707988</v>
      </c>
      <c r="D1000" s="5">
        <v>158.232975608699</v>
      </c>
      <c r="E1000" s="5">
        <v>239.675209802275</v>
      </c>
      <c r="F1000" s="5">
        <v>207.141540707988</v>
      </c>
      <c r="G1000" s="5">
        <v>207.141540707988</v>
      </c>
      <c r="H1000" s="5">
        <v>-9.45716591428829</v>
      </c>
      <c r="I1000" s="5">
        <v>-9.45716591428829</v>
      </c>
      <c r="J1000" s="5">
        <v>-9.45716591428829</v>
      </c>
      <c r="K1000" s="5">
        <v>-0.225417905346562</v>
      </c>
      <c r="L1000" s="5">
        <v>-0.225417905346562</v>
      </c>
      <c r="M1000" s="5">
        <v>-0.225417905346562</v>
      </c>
      <c r="N1000" s="5">
        <v>-9.23174800894172</v>
      </c>
      <c r="O1000" s="5">
        <v>-9.23174800894172</v>
      </c>
      <c r="P1000" s="5">
        <v>-9.23174800894172</v>
      </c>
      <c r="Q1000" s="5">
        <v>0.0</v>
      </c>
      <c r="R1000" s="5">
        <v>0.0</v>
      </c>
      <c r="S1000" s="5">
        <v>0.0</v>
      </c>
      <c r="T1000" s="5">
        <v>197.6843747937</v>
      </c>
    </row>
    <row r="1001">
      <c r="A1001" s="5">
        <v>999.0</v>
      </c>
      <c r="B1001" s="6">
        <v>45030.0</v>
      </c>
      <c r="C1001" s="5">
        <v>207.255363997288</v>
      </c>
      <c r="D1001" s="5">
        <v>158.494380271638</v>
      </c>
      <c r="E1001" s="5">
        <v>239.068600617238</v>
      </c>
      <c r="F1001" s="5">
        <v>207.255363997288</v>
      </c>
      <c r="G1001" s="5">
        <v>207.255363997288</v>
      </c>
      <c r="H1001" s="5">
        <v>-10.5240717826497</v>
      </c>
      <c r="I1001" s="5">
        <v>-10.5240717826497</v>
      </c>
      <c r="J1001" s="5">
        <v>-10.5240717826497</v>
      </c>
      <c r="K1001" s="5">
        <v>-0.739640081281774</v>
      </c>
      <c r="L1001" s="5">
        <v>-0.739640081281774</v>
      </c>
      <c r="M1001" s="5">
        <v>-0.739640081281774</v>
      </c>
      <c r="N1001" s="5">
        <v>-9.78443170136795</v>
      </c>
      <c r="O1001" s="5">
        <v>-9.78443170136795</v>
      </c>
      <c r="P1001" s="5">
        <v>-9.78443170136795</v>
      </c>
      <c r="Q1001" s="5">
        <v>0.0</v>
      </c>
      <c r="R1001" s="5">
        <v>0.0</v>
      </c>
      <c r="S1001" s="5">
        <v>0.0</v>
      </c>
      <c r="T1001" s="5">
        <v>196.731292214639</v>
      </c>
    </row>
    <row r="1002">
      <c r="A1002" s="5">
        <v>1000.0</v>
      </c>
      <c r="B1002" s="6">
        <v>45033.0</v>
      </c>
      <c r="C1002" s="5">
        <v>207.596833865189</v>
      </c>
      <c r="D1002" s="5">
        <v>157.020068642973</v>
      </c>
      <c r="E1002" s="5">
        <v>239.896599131138</v>
      </c>
      <c r="F1002" s="5">
        <v>207.596833865189</v>
      </c>
      <c r="G1002" s="5">
        <v>207.596833865189</v>
      </c>
      <c r="H1002" s="5">
        <v>-10.0370881535478</v>
      </c>
      <c r="I1002" s="5">
        <v>-10.0370881535478</v>
      </c>
      <c r="J1002" s="5">
        <v>-10.0370881535478</v>
      </c>
      <c r="K1002" s="5">
        <v>1.1645793334504</v>
      </c>
      <c r="L1002" s="5">
        <v>1.1645793334504</v>
      </c>
      <c r="M1002" s="5">
        <v>1.1645793334504</v>
      </c>
      <c r="N1002" s="5">
        <v>-11.2016674869982</v>
      </c>
      <c r="O1002" s="5">
        <v>-11.2016674869982</v>
      </c>
      <c r="P1002" s="5">
        <v>-11.2016674869982</v>
      </c>
      <c r="Q1002" s="5">
        <v>0.0</v>
      </c>
      <c r="R1002" s="5">
        <v>0.0</v>
      </c>
      <c r="S1002" s="5">
        <v>0.0</v>
      </c>
      <c r="T1002" s="5">
        <v>197.559745711641</v>
      </c>
    </row>
    <row r="1003">
      <c r="A1003" s="5">
        <v>1001.0</v>
      </c>
      <c r="B1003" s="6">
        <v>45034.0</v>
      </c>
      <c r="C1003" s="5">
        <v>207.71065715449</v>
      </c>
      <c r="D1003" s="5">
        <v>157.51775635643</v>
      </c>
      <c r="E1003" s="5">
        <v>237.668919998512</v>
      </c>
      <c r="F1003" s="5">
        <v>207.71065715449</v>
      </c>
      <c r="G1003" s="5">
        <v>207.71065715449</v>
      </c>
      <c r="H1003" s="5">
        <v>-11.3358769159313</v>
      </c>
      <c r="I1003" s="5">
        <v>-11.3358769159313</v>
      </c>
      <c r="J1003" s="5">
        <v>-11.3358769159313</v>
      </c>
      <c r="K1003" s="5">
        <v>0.247324772138851</v>
      </c>
      <c r="L1003" s="5">
        <v>0.247324772138851</v>
      </c>
      <c r="M1003" s="5">
        <v>0.247324772138851</v>
      </c>
      <c r="N1003" s="5">
        <v>-11.5832016880701</v>
      </c>
      <c r="O1003" s="5">
        <v>-11.5832016880701</v>
      </c>
      <c r="P1003" s="5">
        <v>-11.5832016880701</v>
      </c>
      <c r="Q1003" s="5">
        <v>0.0</v>
      </c>
      <c r="R1003" s="5">
        <v>0.0</v>
      </c>
      <c r="S1003" s="5">
        <v>0.0</v>
      </c>
      <c r="T1003" s="5">
        <v>196.374780238558</v>
      </c>
    </row>
    <row r="1004">
      <c r="A1004" s="5">
        <v>1002.0</v>
      </c>
      <c r="B1004" s="6">
        <v>45035.0</v>
      </c>
      <c r="C1004" s="5">
        <v>207.82448044379</v>
      </c>
      <c r="D1004" s="5">
        <v>154.791346410353</v>
      </c>
      <c r="E1004" s="5">
        <v>235.154856248864</v>
      </c>
      <c r="F1004" s="5">
        <v>207.82448044379</v>
      </c>
      <c r="G1004" s="5">
        <v>207.82448044379</v>
      </c>
      <c r="H1004" s="5">
        <v>-11.3121966720652</v>
      </c>
      <c r="I1004" s="5">
        <v>-11.3121966720652</v>
      </c>
      <c r="J1004" s="5">
        <v>-11.3121966720652</v>
      </c>
      <c r="K1004" s="5">
        <v>0.608132553626484</v>
      </c>
      <c r="L1004" s="5">
        <v>0.608132553626484</v>
      </c>
      <c r="M1004" s="5">
        <v>0.608132553626484</v>
      </c>
      <c r="N1004" s="5">
        <v>-11.9203292256916</v>
      </c>
      <c r="O1004" s="5">
        <v>-11.9203292256916</v>
      </c>
      <c r="P1004" s="5">
        <v>-11.9203292256916</v>
      </c>
      <c r="Q1004" s="5">
        <v>0.0</v>
      </c>
      <c r="R1004" s="5">
        <v>0.0</v>
      </c>
      <c r="S1004" s="5">
        <v>0.0</v>
      </c>
      <c r="T1004" s="5">
        <v>196.512283771725</v>
      </c>
    </row>
    <row r="1005">
      <c r="A1005" s="5">
        <v>1003.0</v>
      </c>
      <c r="B1005" s="6">
        <v>45036.0</v>
      </c>
      <c r="C1005" s="5">
        <v>207.93830373309</v>
      </c>
      <c r="D1005" s="5">
        <v>155.572995516085</v>
      </c>
      <c r="E1005" s="5">
        <v>236.933210356179</v>
      </c>
      <c r="F1005" s="5">
        <v>207.93830373309</v>
      </c>
      <c r="G1005" s="5">
        <v>207.93830373309</v>
      </c>
      <c r="H1005" s="5">
        <v>-12.4426642791671</v>
      </c>
      <c r="I1005" s="5">
        <v>-12.4426642791671</v>
      </c>
      <c r="J1005" s="5">
        <v>-12.4426642791671</v>
      </c>
      <c r="K1005" s="5">
        <v>-0.225417905349527</v>
      </c>
      <c r="L1005" s="5">
        <v>-0.225417905349527</v>
      </c>
      <c r="M1005" s="5">
        <v>-0.225417905349527</v>
      </c>
      <c r="N1005" s="5">
        <v>-12.2172463738176</v>
      </c>
      <c r="O1005" s="5">
        <v>-12.2172463738176</v>
      </c>
      <c r="P1005" s="5">
        <v>-12.2172463738176</v>
      </c>
      <c r="Q1005" s="5">
        <v>0.0</v>
      </c>
      <c r="R1005" s="5">
        <v>0.0</v>
      </c>
      <c r="S1005" s="5">
        <v>0.0</v>
      </c>
      <c r="T1005" s="5">
        <v>195.495639453923</v>
      </c>
    </row>
    <row r="1006">
      <c r="A1006" s="5">
        <v>1004.0</v>
      </c>
      <c r="B1006" s="6">
        <v>45037.0</v>
      </c>
      <c r="C1006" s="5">
        <v>208.052127022391</v>
      </c>
      <c r="D1006" s="5">
        <v>155.860755593224</v>
      </c>
      <c r="E1006" s="5">
        <v>232.998282348674</v>
      </c>
      <c r="F1006" s="5">
        <v>208.052127022391</v>
      </c>
      <c r="G1006" s="5">
        <v>208.052127022391</v>
      </c>
      <c r="H1006" s="5">
        <v>-13.2198823278523</v>
      </c>
      <c r="I1006" s="5">
        <v>-13.2198823278523</v>
      </c>
      <c r="J1006" s="5">
        <v>-13.2198823278523</v>
      </c>
      <c r="K1006" s="5">
        <v>-0.739640081279497</v>
      </c>
      <c r="L1006" s="5">
        <v>-0.739640081279497</v>
      </c>
      <c r="M1006" s="5">
        <v>-0.739640081279497</v>
      </c>
      <c r="N1006" s="5">
        <v>-12.4802422465728</v>
      </c>
      <c r="O1006" s="5">
        <v>-12.4802422465728</v>
      </c>
      <c r="P1006" s="5">
        <v>-12.4802422465728</v>
      </c>
      <c r="Q1006" s="5">
        <v>0.0</v>
      </c>
      <c r="R1006" s="5">
        <v>0.0</v>
      </c>
      <c r="S1006" s="5">
        <v>0.0</v>
      </c>
      <c r="T1006" s="5">
        <v>194.832244694538</v>
      </c>
    </row>
    <row r="1007">
      <c r="A1007" s="5">
        <v>1005.0</v>
      </c>
      <c r="B1007" s="6">
        <v>45040.0</v>
      </c>
      <c r="C1007" s="5">
        <v>208.393596890292</v>
      </c>
      <c r="D1007" s="5">
        <v>153.462013769071</v>
      </c>
      <c r="E1007" s="5">
        <v>235.387237181787</v>
      </c>
      <c r="F1007" s="5">
        <v>208.393596890292</v>
      </c>
      <c r="G1007" s="5">
        <v>208.393596890292</v>
      </c>
      <c r="H1007" s="5">
        <v>-11.988792621005</v>
      </c>
      <c r="I1007" s="5">
        <v>-11.988792621005</v>
      </c>
      <c r="J1007" s="5">
        <v>-11.988792621005</v>
      </c>
      <c r="K1007" s="5">
        <v>1.16457933345084</v>
      </c>
      <c r="L1007" s="5">
        <v>1.16457933345084</v>
      </c>
      <c r="M1007" s="5">
        <v>1.16457933345084</v>
      </c>
      <c r="N1007" s="5">
        <v>-13.1533719544559</v>
      </c>
      <c r="O1007" s="5">
        <v>-13.1533719544559</v>
      </c>
      <c r="P1007" s="5">
        <v>-13.1533719544559</v>
      </c>
      <c r="Q1007" s="5">
        <v>0.0</v>
      </c>
      <c r="R1007" s="5">
        <v>0.0</v>
      </c>
      <c r="S1007" s="5">
        <v>0.0</v>
      </c>
      <c r="T1007" s="5">
        <v>196.404804269287</v>
      </c>
    </row>
    <row r="1008">
      <c r="A1008" s="5">
        <v>1006.0</v>
      </c>
      <c r="B1008" s="6">
        <v>45041.0</v>
      </c>
      <c r="C1008" s="5">
        <v>208.507420179592</v>
      </c>
      <c r="D1008" s="5">
        <v>154.193953096791</v>
      </c>
      <c r="E1008" s="5">
        <v>235.270276036736</v>
      </c>
      <c r="F1008" s="5">
        <v>208.507420179592</v>
      </c>
      <c r="G1008" s="5">
        <v>208.507420179592</v>
      </c>
      <c r="H1008" s="5">
        <v>-13.1266402436804</v>
      </c>
      <c r="I1008" s="5">
        <v>-13.1266402436804</v>
      </c>
      <c r="J1008" s="5">
        <v>-13.1266402436804</v>
      </c>
      <c r="K1008" s="5">
        <v>0.24732477213894</v>
      </c>
      <c r="L1008" s="5">
        <v>0.24732477213894</v>
      </c>
      <c r="M1008" s="5">
        <v>0.24732477213894</v>
      </c>
      <c r="N1008" s="5">
        <v>-13.3739650158193</v>
      </c>
      <c r="O1008" s="5">
        <v>-13.3739650158193</v>
      </c>
      <c r="P1008" s="5">
        <v>-13.3739650158193</v>
      </c>
      <c r="Q1008" s="5">
        <v>0.0</v>
      </c>
      <c r="R1008" s="5">
        <v>0.0</v>
      </c>
      <c r="S1008" s="5">
        <v>0.0</v>
      </c>
      <c r="T1008" s="5">
        <v>195.380779935912</v>
      </c>
    </row>
    <row r="1009">
      <c r="A1009" s="5">
        <v>1007.0</v>
      </c>
      <c r="B1009" s="6">
        <v>45042.0</v>
      </c>
      <c r="C1009" s="5">
        <v>208.621243468893</v>
      </c>
      <c r="D1009" s="5">
        <v>157.606449023542</v>
      </c>
      <c r="E1009" s="5">
        <v>236.011121402219</v>
      </c>
      <c r="F1009" s="5">
        <v>208.621243468893</v>
      </c>
      <c r="G1009" s="5">
        <v>208.621243468893</v>
      </c>
      <c r="H1009" s="5">
        <v>-13.0032880728691</v>
      </c>
      <c r="I1009" s="5">
        <v>-13.0032880728691</v>
      </c>
      <c r="J1009" s="5">
        <v>-13.0032880728691</v>
      </c>
      <c r="K1009" s="5">
        <v>0.608132553627148</v>
      </c>
      <c r="L1009" s="5">
        <v>0.608132553627148</v>
      </c>
      <c r="M1009" s="5">
        <v>0.608132553627148</v>
      </c>
      <c r="N1009" s="5">
        <v>-13.6114206264963</v>
      </c>
      <c r="O1009" s="5">
        <v>-13.6114206264963</v>
      </c>
      <c r="P1009" s="5">
        <v>-13.6114206264963</v>
      </c>
      <c r="Q1009" s="5">
        <v>0.0</v>
      </c>
      <c r="R1009" s="5">
        <v>0.0</v>
      </c>
      <c r="S1009" s="5">
        <v>0.0</v>
      </c>
      <c r="T1009" s="5">
        <v>195.617955396023</v>
      </c>
    </row>
    <row r="1010">
      <c r="A1010" s="5">
        <v>1008.0</v>
      </c>
      <c r="B1010" s="6">
        <v>45043.0</v>
      </c>
      <c r="C1010" s="5">
        <v>208.638284442188</v>
      </c>
      <c r="D1010" s="5">
        <v>155.499721077953</v>
      </c>
      <c r="E1010" s="5">
        <v>236.340823527365</v>
      </c>
      <c r="F1010" s="5">
        <v>208.638284442188</v>
      </c>
      <c r="G1010" s="5">
        <v>208.638284442188</v>
      </c>
      <c r="H1010" s="5">
        <v>-14.1022896375909</v>
      </c>
      <c r="I1010" s="5">
        <v>-14.1022896375909</v>
      </c>
      <c r="J1010" s="5">
        <v>-14.1022896375909</v>
      </c>
      <c r="K1010" s="5">
        <v>-0.225417905349106</v>
      </c>
      <c r="L1010" s="5">
        <v>-0.225417905349106</v>
      </c>
      <c r="M1010" s="5">
        <v>-0.225417905349106</v>
      </c>
      <c r="N1010" s="5">
        <v>-13.8768717322418</v>
      </c>
      <c r="O1010" s="5">
        <v>-13.8768717322418</v>
      </c>
      <c r="P1010" s="5">
        <v>-13.8768717322418</v>
      </c>
      <c r="Q1010" s="5">
        <v>0.0</v>
      </c>
      <c r="R1010" s="5">
        <v>0.0</v>
      </c>
      <c r="S1010" s="5">
        <v>0.0</v>
      </c>
      <c r="T1010" s="5">
        <v>194.535994804597</v>
      </c>
    </row>
    <row r="1011">
      <c r="A1011" s="5">
        <v>1009.0</v>
      </c>
      <c r="B1011" s="6">
        <v>45044.0</v>
      </c>
      <c r="C1011" s="5">
        <v>208.655325415483</v>
      </c>
      <c r="D1011" s="5">
        <v>150.846830252462</v>
      </c>
      <c r="E1011" s="5">
        <v>228.628632608391</v>
      </c>
      <c r="F1011" s="5">
        <v>208.655325415483</v>
      </c>
      <c r="G1011" s="5">
        <v>208.655325415483</v>
      </c>
      <c r="H1011" s="5">
        <v>-14.9204038744193</v>
      </c>
      <c r="I1011" s="5">
        <v>-14.9204038744193</v>
      </c>
      <c r="J1011" s="5">
        <v>-14.9204038744193</v>
      </c>
      <c r="K1011" s="5">
        <v>-0.739640081277221</v>
      </c>
      <c r="L1011" s="5">
        <v>-0.739640081277221</v>
      </c>
      <c r="M1011" s="5">
        <v>-0.739640081277221</v>
      </c>
      <c r="N1011" s="5">
        <v>-14.1807637931421</v>
      </c>
      <c r="O1011" s="5">
        <v>-14.1807637931421</v>
      </c>
      <c r="P1011" s="5">
        <v>-14.1807637931421</v>
      </c>
      <c r="Q1011" s="5">
        <v>0.0</v>
      </c>
      <c r="R1011" s="5">
        <v>0.0</v>
      </c>
      <c r="S1011" s="5">
        <v>0.0</v>
      </c>
      <c r="T1011" s="5">
        <v>193.734921541064</v>
      </c>
    </row>
    <row r="1012">
      <c r="A1012" s="5">
        <v>1010.0</v>
      </c>
      <c r="B1012" s="6">
        <v>45047.0</v>
      </c>
      <c r="C1012" s="5">
        <v>208.706448335369</v>
      </c>
      <c r="D1012" s="5">
        <v>154.715593380109</v>
      </c>
      <c r="E1012" s="5">
        <v>233.701280199523</v>
      </c>
      <c r="F1012" s="5">
        <v>208.706448335369</v>
      </c>
      <c r="G1012" s="5">
        <v>208.706448335369</v>
      </c>
      <c r="H1012" s="5">
        <v>-14.2443851134685</v>
      </c>
      <c r="I1012" s="5">
        <v>-14.2443851134685</v>
      </c>
      <c r="J1012" s="5">
        <v>-14.2443851134685</v>
      </c>
      <c r="K1012" s="5">
        <v>1.16457933345107</v>
      </c>
      <c r="L1012" s="5">
        <v>1.16457933345107</v>
      </c>
      <c r="M1012" s="5">
        <v>1.16457933345107</v>
      </c>
      <c r="N1012" s="5">
        <v>-15.4089644469196</v>
      </c>
      <c r="O1012" s="5">
        <v>-15.4089644469196</v>
      </c>
      <c r="P1012" s="5">
        <v>-15.4089644469196</v>
      </c>
      <c r="Q1012" s="5">
        <v>0.0</v>
      </c>
      <c r="R1012" s="5">
        <v>0.0</v>
      </c>
      <c r="S1012" s="5">
        <v>0.0</v>
      </c>
      <c r="T1012" s="5">
        <v>194.4620632219</v>
      </c>
    </row>
    <row r="1013">
      <c r="A1013" s="5">
        <v>1011.0</v>
      </c>
      <c r="B1013" s="6">
        <v>45048.0</v>
      </c>
      <c r="C1013" s="5">
        <v>208.723489308664</v>
      </c>
      <c r="D1013" s="5">
        <v>154.994400470929</v>
      </c>
      <c r="E1013" s="5">
        <v>230.969715649244</v>
      </c>
      <c r="F1013" s="5">
        <v>208.723489308664</v>
      </c>
      <c r="G1013" s="5">
        <v>208.723489308664</v>
      </c>
      <c r="H1013" s="5">
        <v>-15.6966301299748</v>
      </c>
      <c r="I1013" s="5">
        <v>-15.6966301299748</v>
      </c>
      <c r="J1013" s="5">
        <v>-15.6966301299748</v>
      </c>
      <c r="K1013" s="5">
        <v>0.247324772137605</v>
      </c>
      <c r="L1013" s="5">
        <v>0.247324772137605</v>
      </c>
      <c r="M1013" s="5">
        <v>0.247324772137605</v>
      </c>
      <c r="N1013" s="5">
        <v>-15.9439549021124</v>
      </c>
      <c r="O1013" s="5">
        <v>-15.9439549021124</v>
      </c>
      <c r="P1013" s="5">
        <v>-15.9439549021124</v>
      </c>
      <c r="Q1013" s="5">
        <v>0.0</v>
      </c>
      <c r="R1013" s="5">
        <v>0.0</v>
      </c>
      <c r="S1013" s="5">
        <v>0.0</v>
      </c>
      <c r="T1013" s="5">
        <v>193.026859178689</v>
      </c>
    </row>
    <row r="1014">
      <c r="A1014" s="5">
        <v>1012.0</v>
      </c>
      <c r="B1014" s="6">
        <v>45049.0</v>
      </c>
      <c r="C1014" s="5">
        <v>208.740530281959</v>
      </c>
      <c r="D1014" s="5">
        <v>154.810553803766</v>
      </c>
      <c r="E1014" s="5">
        <v>231.882830142477</v>
      </c>
      <c r="F1014" s="5">
        <v>208.740530281959</v>
      </c>
      <c r="G1014" s="5">
        <v>208.740530281959</v>
      </c>
      <c r="H1014" s="5">
        <v>-15.9384611759999</v>
      </c>
      <c r="I1014" s="5">
        <v>-15.9384611759999</v>
      </c>
      <c r="J1014" s="5">
        <v>-15.9384611759999</v>
      </c>
      <c r="K1014" s="5">
        <v>0.608132553626259</v>
      </c>
      <c r="L1014" s="5">
        <v>0.608132553626259</v>
      </c>
      <c r="M1014" s="5">
        <v>0.608132553626259</v>
      </c>
      <c r="N1014" s="5">
        <v>-16.5465937296262</v>
      </c>
      <c r="O1014" s="5">
        <v>-16.5465937296262</v>
      </c>
      <c r="P1014" s="5">
        <v>-16.5465937296262</v>
      </c>
      <c r="Q1014" s="5">
        <v>0.0</v>
      </c>
      <c r="R1014" s="5">
        <v>0.0</v>
      </c>
      <c r="S1014" s="5">
        <v>0.0</v>
      </c>
      <c r="T1014" s="5">
        <v>192.802069105959</v>
      </c>
    </row>
    <row r="1015">
      <c r="A1015" s="5">
        <v>1013.0</v>
      </c>
      <c r="B1015" s="6">
        <v>45050.0</v>
      </c>
      <c r="C1015" s="5">
        <v>208.757571255255</v>
      </c>
      <c r="D1015" s="5">
        <v>151.35180666704</v>
      </c>
      <c r="E1015" s="5">
        <v>231.034017488175</v>
      </c>
      <c r="F1015" s="5">
        <v>208.757571255255</v>
      </c>
      <c r="G1015" s="5">
        <v>208.757571255255</v>
      </c>
      <c r="H1015" s="5">
        <v>-17.4417324747142</v>
      </c>
      <c r="I1015" s="5">
        <v>-17.4417324747142</v>
      </c>
      <c r="J1015" s="5">
        <v>-17.4417324747142</v>
      </c>
      <c r="K1015" s="5">
        <v>-0.225417905346759</v>
      </c>
      <c r="L1015" s="5">
        <v>-0.225417905346759</v>
      </c>
      <c r="M1015" s="5">
        <v>-0.225417905346759</v>
      </c>
      <c r="N1015" s="5">
        <v>-17.2163145693674</v>
      </c>
      <c r="O1015" s="5">
        <v>-17.2163145693674</v>
      </c>
      <c r="P1015" s="5">
        <v>-17.2163145693674</v>
      </c>
      <c r="Q1015" s="5">
        <v>0.0</v>
      </c>
      <c r="R1015" s="5">
        <v>0.0</v>
      </c>
      <c r="S1015" s="5">
        <v>0.0</v>
      </c>
      <c r="T1015" s="5">
        <v>191.31583878054</v>
      </c>
    </row>
    <row r="1016">
      <c r="A1016" s="5">
        <v>1014.0</v>
      </c>
      <c r="B1016" s="6">
        <v>45051.0</v>
      </c>
      <c r="C1016" s="5">
        <v>208.77461222855</v>
      </c>
      <c r="D1016" s="5">
        <v>148.954087913226</v>
      </c>
      <c r="E1016" s="5">
        <v>229.146272879789</v>
      </c>
      <c r="F1016" s="5">
        <v>208.77461222855</v>
      </c>
      <c r="G1016" s="5">
        <v>208.77461222855</v>
      </c>
      <c r="H1016" s="5">
        <v>-18.6897632912575</v>
      </c>
      <c r="I1016" s="5">
        <v>-18.6897632912575</v>
      </c>
      <c r="J1016" s="5">
        <v>-18.6897632912575</v>
      </c>
      <c r="K1016" s="5">
        <v>-0.739640081281809</v>
      </c>
      <c r="L1016" s="5">
        <v>-0.739640081281809</v>
      </c>
      <c r="M1016" s="5">
        <v>-0.739640081281809</v>
      </c>
      <c r="N1016" s="5">
        <v>-17.9501232099757</v>
      </c>
      <c r="O1016" s="5">
        <v>-17.9501232099757</v>
      </c>
      <c r="P1016" s="5">
        <v>-17.9501232099757</v>
      </c>
      <c r="Q1016" s="5">
        <v>0.0</v>
      </c>
      <c r="R1016" s="5">
        <v>0.0</v>
      </c>
      <c r="S1016" s="5">
        <v>0.0</v>
      </c>
      <c r="T1016" s="5">
        <v>190.084848937292</v>
      </c>
    </row>
    <row r="1017">
      <c r="A1017" s="5">
        <v>1015.0</v>
      </c>
      <c r="B1017" s="6">
        <v>45054.0</v>
      </c>
      <c r="C1017" s="5">
        <v>208.825735148436</v>
      </c>
      <c r="D1017" s="5">
        <v>145.966218767252</v>
      </c>
      <c r="E1017" s="5">
        <v>233.148960195632</v>
      </c>
      <c r="F1017" s="5">
        <v>208.825735148436</v>
      </c>
      <c r="G1017" s="5">
        <v>208.825735148436</v>
      </c>
      <c r="H1017" s="5">
        <v>-19.3061284071155</v>
      </c>
      <c r="I1017" s="5">
        <v>-19.3061284071155</v>
      </c>
      <c r="J1017" s="5">
        <v>-19.3061284071155</v>
      </c>
      <c r="K1017" s="5">
        <v>1.16457933345141</v>
      </c>
      <c r="L1017" s="5">
        <v>1.16457933345141</v>
      </c>
      <c r="M1017" s="5">
        <v>1.16457933345141</v>
      </c>
      <c r="N1017" s="5">
        <v>-20.4707077405669</v>
      </c>
      <c r="O1017" s="5">
        <v>-20.4707077405669</v>
      </c>
      <c r="P1017" s="5">
        <v>-20.4707077405669</v>
      </c>
      <c r="Q1017" s="5">
        <v>0.0</v>
      </c>
      <c r="R1017" s="5">
        <v>0.0</v>
      </c>
      <c r="S1017" s="5">
        <v>0.0</v>
      </c>
      <c r="T1017" s="5">
        <v>189.51960674132</v>
      </c>
    </row>
    <row r="1018">
      <c r="A1018" s="5">
        <v>1016.0</v>
      </c>
      <c r="B1018" s="6">
        <v>45055.0</v>
      </c>
      <c r="C1018" s="5">
        <v>208.842776121731</v>
      </c>
      <c r="D1018" s="5">
        <v>148.322706730676</v>
      </c>
      <c r="E1018" s="5">
        <v>229.1011133736</v>
      </c>
      <c r="F1018" s="5">
        <v>208.842776121731</v>
      </c>
      <c r="G1018" s="5">
        <v>208.842776121731</v>
      </c>
      <c r="H1018" s="5">
        <v>-21.1373739053758</v>
      </c>
      <c r="I1018" s="5">
        <v>-21.1373739053758</v>
      </c>
      <c r="J1018" s="5">
        <v>-21.1373739053758</v>
      </c>
      <c r="K1018" s="5">
        <v>0.247324772136271</v>
      </c>
      <c r="L1018" s="5">
        <v>0.247324772136271</v>
      </c>
      <c r="M1018" s="5">
        <v>0.247324772136271</v>
      </c>
      <c r="N1018" s="5">
        <v>-21.384698677512</v>
      </c>
      <c r="O1018" s="5">
        <v>-21.384698677512</v>
      </c>
      <c r="P1018" s="5">
        <v>-21.384698677512</v>
      </c>
      <c r="Q1018" s="5">
        <v>0.0</v>
      </c>
      <c r="R1018" s="5">
        <v>0.0</v>
      </c>
      <c r="S1018" s="5">
        <v>0.0</v>
      </c>
      <c r="T1018" s="5">
        <v>187.705402216355</v>
      </c>
    </row>
    <row r="1019">
      <c r="A1019" s="5">
        <v>1017.0</v>
      </c>
      <c r="B1019" s="6">
        <v>45056.0</v>
      </c>
      <c r="C1019" s="5">
        <v>208.859817095026</v>
      </c>
      <c r="D1019" s="5">
        <v>145.378729736095</v>
      </c>
      <c r="E1019" s="5">
        <v>227.636951145532</v>
      </c>
      <c r="F1019" s="5">
        <v>208.859817095026</v>
      </c>
      <c r="G1019" s="5">
        <v>208.859817095026</v>
      </c>
      <c r="H1019" s="5">
        <v>-21.7065736686798</v>
      </c>
      <c r="I1019" s="5">
        <v>-21.7065736686798</v>
      </c>
      <c r="J1019" s="5">
        <v>-21.7065736686798</v>
      </c>
      <c r="K1019" s="5">
        <v>0.608132553628038</v>
      </c>
      <c r="L1019" s="5">
        <v>0.608132553628038</v>
      </c>
      <c r="M1019" s="5">
        <v>0.608132553628038</v>
      </c>
      <c r="N1019" s="5">
        <v>-22.3147062223079</v>
      </c>
      <c r="O1019" s="5">
        <v>-22.3147062223079</v>
      </c>
      <c r="P1019" s="5">
        <v>-22.3147062223079</v>
      </c>
      <c r="Q1019" s="5">
        <v>0.0</v>
      </c>
      <c r="R1019" s="5">
        <v>0.0</v>
      </c>
      <c r="S1019" s="5">
        <v>0.0</v>
      </c>
      <c r="T1019" s="5">
        <v>187.153243426346</v>
      </c>
    </row>
    <row r="1020">
      <c r="A1020" s="5">
        <v>1018.0</v>
      </c>
      <c r="B1020" s="6">
        <v>45057.0</v>
      </c>
      <c r="C1020" s="5">
        <v>208.876858068322</v>
      </c>
      <c r="D1020" s="5">
        <v>144.023131327648</v>
      </c>
      <c r="E1020" s="5">
        <v>227.45131292047</v>
      </c>
      <c r="F1020" s="5">
        <v>208.876858068322</v>
      </c>
      <c r="G1020" s="5">
        <v>208.876858068322</v>
      </c>
      <c r="H1020" s="5">
        <v>-23.4715160361147</v>
      </c>
      <c r="I1020" s="5">
        <v>-23.4715160361147</v>
      </c>
      <c r="J1020" s="5">
        <v>-23.4715160361147</v>
      </c>
      <c r="K1020" s="5">
        <v>-0.225417905346338</v>
      </c>
      <c r="L1020" s="5">
        <v>-0.225417905346338</v>
      </c>
      <c r="M1020" s="5">
        <v>-0.225417905346338</v>
      </c>
      <c r="N1020" s="5">
        <v>-23.2460981307684</v>
      </c>
      <c r="O1020" s="5">
        <v>-23.2460981307684</v>
      </c>
      <c r="P1020" s="5">
        <v>-23.2460981307684</v>
      </c>
      <c r="Q1020" s="5">
        <v>0.0</v>
      </c>
      <c r="R1020" s="5">
        <v>0.0</v>
      </c>
      <c r="S1020" s="5">
        <v>0.0</v>
      </c>
      <c r="T1020" s="5">
        <v>185.405342032207</v>
      </c>
    </row>
    <row r="1021">
      <c r="A1021" s="5">
        <v>1019.0</v>
      </c>
      <c r="B1021" s="6">
        <v>45058.0</v>
      </c>
      <c r="C1021" s="5">
        <v>208.893899041617</v>
      </c>
      <c r="D1021" s="5">
        <v>142.913268019673</v>
      </c>
      <c r="E1021" s="5">
        <v>223.426039310945</v>
      </c>
      <c r="F1021" s="5">
        <v>208.893899041617</v>
      </c>
      <c r="G1021" s="5">
        <v>208.893899041617</v>
      </c>
      <c r="H1021" s="5">
        <v>-24.9029967751848</v>
      </c>
      <c r="I1021" s="5">
        <v>-24.9029967751848</v>
      </c>
      <c r="J1021" s="5">
        <v>-24.9029967751848</v>
      </c>
      <c r="K1021" s="5">
        <v>-0.739640081279532</v>
      </c>
      <c r="L1021" s="5">
        <v>-0.739640081279532</v>
      </c>
      <c r="M1021" s="5">
        <v>-0.739640081279532</v>
      </c>
      <c r="N1021" s="5">
        <v>-24.1633566939053</v>
      </c>
      <c r="O1021" s="5">
        <v>-24.1633566939053</v>
      </c>
      <c r="P1021" s="5">
        <v>-24.1633566939053</v>
      </c>
      <c r="Q1021" s="5">
        <v>0.0</v>
      </c>
      <c r="R1021" s="5">
        <v>0.0</v>
      </c>
      <c r="S1021" s="5">
        <v>0.0</v>
      </c>
      <c r="T1021" s="5">
        <v>183.990902266432</v>
      </c>
    </row>
    <row r="1022">
      <c r="A1022" s="5">
        <v>1020.0</v>
      </c>
      <c r="B1022" s="6">
        <v>45061.0</v>
      </c>
      <c r="C1022" s="5">
        <v>208.945021961503</v>
      </c>
      <c r="D1022" s="5">
        <v>140.071165820958</v>
      </c>
      <c r="E1022" s="5">
        <v>224.290280761952</v>
      </c>
      <c r="F1022" s="5">
        <v>208.945021961503</v>
      </c>
      <c r="G1022" s="5">
        <v>208.945021961503</v>
      </c>
      <c r="H1022" s="5">
        <v>-25.5060197521099</v>
      </c>
      <c r="I1022" s="5">
        <v>-25.5060197521099</v>
      </c>
      <c r="J1022" s="5">
        <v>-25.5060197521099</v>
      </c>
      <c r="K1022" s="5">
        <v>1.16457933345002</v>
      </c>
      <c r="L1022" s="5">
        <v>1.16457933345002</v>
      </c>
      <c r="M1022" s="5">
        <v>1.16457933345002</v>
      </c>
      <c r="N1022" s="5">
        <v>-26.6705990855599</v>
      </c>
      <c r="O1022" s="5">
        <v>-26.6705990855599</v>
      </c>
      <c r="P1022" s="5">
        <v>-26.6705990855599</v>
      </c>
      <c r="Q1022" s="5">
        <v>0.0</v>
      </c>
      <c r="R1022" s="5">
        <v>0.0</v>
      </c>
      <c r="S1022" s="5">
        <v>0.0</v>
      </c>
      <c r="T1022" s="5">
        <v>183.439002209393</v>
      </c>
    </row>
    <row r="1023">
      <c r="A1023" s="5">
        <v>1021.0</v>
      </c>
      <c r="B1023" s="6">
        <v>45062.0</v>
      </c>
      <c r="C1023" s="5">
        <v>208.962062934798</v>
      </c>
      <c r="D1023" s="5">
        <v>140.278247251924</v>
      </c>
      <c r="E1023" s="5">
        <v>222.271027429891</v>
      </c>
      <c r="F1023" s="5">
        <v>208.962062934798</v>
      </c>
      <c r="G1023" s="5">
        <v>208.962062934798</v>
      </c>
      <c r="H1023" s="5">
        <v>-27.1257370281261</v>
      </c>
      <c r="I1023" s="5">
        <v>-27.1257370281261</v>
      </c>
      <c r="J1023" s="5">
        <v>-27.1257370281261</v>
      </c>
      <c r="K1023" s="5">
        <v>0.247324772137782</v>
      </c>
      <c r="L1023" s="5">
        <v>0.247324772137782</v>
      </c>
      <c r="M1023" s="5">
        <v>0.247324772137782</v>
      </c>
      <c r="N1023" s="5">
        <v>-27.3730618002639</v>
      </c>
      <c r="O1023" s="5">
        <v>-27.3730618002639</v>
      </c>
      <c r="P1023" s="5">
        <v>-27.3730618002639</v>
      </c>
      <c r="Q1023" s="5">
        <v>0.0</v>
      </c>
      <c r="R1023" s="5">
        <v>0.0</v>
      </c>
      <c r="S1023" s="5">
        <v>0.0</v>
      </c>
      <c r="T1023" s="5">
        <v>181.836325906672</v>
      </c>
    </row>
    <row r="1024">
      <c r="A1024" s="5">
        <v>1022.0</v>
      </c>
      <c r="B1024" s="6">
        <v>45063.0</v>
      </c>
      <c r="C1024" s="5">
        <v>208.979103908093</v>
      </c>
      <c r="D1024" s="5">
        <v>141.76601969483</v>
      </c>
      <c r="E1024" s="5">
        <v>218.55993085358</v>
      </c>
      <c r="F1024" s="5">
        <v>208.979103908093</v>
      </c>
      <c r="G1024" s="5">
        <v>208.979103908093</v>
      </c>
      <c r="H1024" s="5">
        <v>-27.3770582484867</v>
      </c>
      <c r="I1024" s="5">
        <v>-27.3770582484867</v>
      </c>
      <c r="J1024" s="5">
        <v>-27.3770582484867</v>
      </c>
      <c r="K1024" s="5">
        <v>0.608132553624479</v>
      </c>
      <c r="L1024" s="5">
        <v>0.608132553624479</v>
      </c>
      <c r="M1024" s="5">
        <v>0.608132553624479</v>
      </c>
      <c r="N1024" s="5">
        <v>-27.9851908021111</v>
      </c>
      <c r="O1024" s="5">
        <v>-27.9851908021111</v>
      </c>
      <c r="P1024" s="5">
        <v>-27.9851908021111</v>
      </c>
      <c r="Q1024" s="5">
        <v>0.0</v>
      </c>
      <c r="R1024" s="5">
        <v>0.0</v>
      </c>
      <c r="S1024" s="5">
        <v>0.0</v>
      </c>
      <c r="T1024" s="5">
        <v>181.602045659606</v>
      </c>
    </row>
    <row r="1025">
      <c r="A1025" s="5">
        <v>1023.0</v>
      </c>
      <c r="B1025" s="6">
        <v>45064.0</v>
      </c>
      <c r="C1025" s="5">
        <v>208.996144881388</v>
      </c>
      <c r="D1025" s="5">
        <v>137.629413796678</v>
      </c>
      <c r="E1025" s="5">
        <v>219.725888664523</v>
      </c>
      <c r="F1025" s="5">
        <v>208.996144881388</v>
      </c>
      <c r="G1025" s="5">
        <v>208.996144881388</v>
      </c>
      <c r="H1025" s="5">
        <v>-28.720318193819</v>
      </c>
      <c r="I1025" s="5">
        <v>-28.720318193819</v>
      </c>
      <c r="J1025" s="5">
        <v>-28.720318193819</v>
      </c>
      <c r="K1025" s="5">
        <v>-0.225417905349302</v>
      </c>
      <c r="L1025" s="5">
        <v>-0.225417905349302</v>
      </c>
      <c r="M1025" s="5">
        <v>-0.225417905349302</v>
      </c>
      <c r="N1025" s="5">
        <v>-28.4949002884697</v>
      </c>
      <c r="O1025" s="5">
        <v>-28.4949002884697</v>
      </c>
      <c r="P1025" s="5">
        <v>-28.4949002884697</v>
      </c>
      <c r="Q1025" s="5">
        <v>0.0</v>
      </c>
      <c r="R1025" s="5">
        <v>0.0</v>
      </c>
      <c r="S1025" s="5">
        <v>0.0</v>
      </c>
      <c r="T1025" s="5">
        <v>180.275826687569</v>
      </c>
    </row>
    <row r="1026">
      <c r="A1026" s="5">
        <v>1024.0</v>
      </c>
      <c r="B1026" s="6">
        <v>45065.0</v>
      </c>
      <c r="C1026" s="5">
        <v>209.013185854684</v>
      </c>
      <c r="D1026" s="5">
        <v>140.886079974093</v>
      </c>
      <c r="E1026" s="5">
        <v>221.914235001416</v>
      </c>
      <c r="F1026" s="5">
        <v>209.013185854684</v>
      </c>
      <c r="G1026" s="5">
        <v>209.013185854684</v>
      </c>
      <c r="H1026" s="5">
        <v>-29.6316353165417</v>
      </c>
      <c r="I1026" s="5">
        <v>-29.6316353165417</v>
      </c>
      <c r="J1026" s="5">
        <v>-29.6316353165417</v>
      </c>
      <c r="K1026" s="5">
        <v>-0.739640081280687</v>
      </c>
      <c r="L1026" s="5">
        <v>-0.739640081280687</v>
      </c>
      <c r="M1026" s="5">
        <v>-0.739640081280687</v>
      </c>
      <c r="N1026" s="5">
        <v>-28.891995235261</v>
      </c>
      <c r="O1026" s="5">
        <v>-28.891995235261</v>
      </c>
      <c r="P1026" s="5">
        <v>-28.891995235261</v>
      </c>
      <c r="Q1026" s="5">
        <v>0.0</v>
      </c>
      <c r="R1026" s="5">
        <v>0.0</v>
      </c>
      <c r="S1026" s="5">
        <v>0.0</v>
      </c>
      <c r="T1026" s="5">
        <v>179.381550538142</v>
      </c>
    </row>
    <row r="1027">
      <c r="A1027" s="5">
        <v>1025.0</v>
      </c>
      <c r="B1027" s="6">
        <v>45068.0</v>
      </c>
      <c r="C1027" s="5">
        <v>209.06430877457</v>
      </c>
      <c r="D1027" s="5">
        <v>139.079781369246</v>
      </c>
      <c r="E1027" s="5">
        <v>221.735406093113</v>
      </c>
      <c r="F1027" s="5">
        <v>209.06430877457</v>
      </c>
      <c r="G1027" s="5">
        <v>209.06430877457</v>
      </c>
      <c r="H1027" s="5">
        <v>-28.1746756541648</v>
      </c>
      <c r="I1027" s="5">
        <v>-28.1746756541648</v>
      </c>
      <c r="J1027" s="5">
        <v>-28.1746756541648</v>
      </c>
      <c r="K1027" s="5">
        <v>1.16457933345036</v>
      </c>
      <c r="L1027" s="5">
        <v>1.16457933345036</v>
      </c>
      <c r="M1027" s="5">
        <v>1.16457933345036</v>
      </c>
      <c r="N1027" s="5">
        <v>-29.3392549876151</v>
      </c>
      <c r="O1027" s="5">
        <v>-29.3392549876151</v>
      </c>
      <c r="P1027" s="5">
        <v>-29.3392549876151</v>
      </c>
      <c r="Q1027" s="5">
        <v>0.0</v>
      </c>
      <c r="R1027" s="5">
        <v>0.0</v>
      </c>
      <c r="S1027" s="5">
        <v>0.0</v>
      </c>
      <c r="T1027" s="5">
        <v>180.889633120405</v>
      </c>
    </row>
    <row r="1028">
      <c r="A1028" s="5">
        <v>1026.0</v>
      </c>
      <c r="B1028" s="6">
        <v>45069.0</v>
      </c>
      <c r="C1028" s="5">
        <v>209.081349747865</v>
      </c>
      <c r="D1028" s="5">
        <v>139.258682446082</v>
      </c>
      <c r="E1028" s="5">
        <v>218.117745247549</v>
      </c>
      <c r="F1028" s="5">
        <v>209.081349747865</v>
      </c>
      <c r="G1028" s="5">
        <v>209.081349747865</v>
      </c>
      <c r="H1028" s="5">
        <v>-28.9825956590867</v>
      </c>
      <c r="I1028" s="5">
        <v>-28.9825956590867</v>
      </c>
      <c r="J1028" s="5">
        <v>-28.9825956590867</v>
      </c>
      <c r="K1028" s="5">
        <v>0.247324772136447</v>
      </c>
      <c r="L1028" s="5">
        <v>0.247324772136447</v>
      </c>
      <c r="M1028" s="5">
        <v>0.247324772136447</v>
      </c>
      <c r="N1028" s="5">
        <v>-29.2299204312232</v>
      </c>
      <c r="O1028" s="5">
        <v>-29.2299204312232</v>
      </c>
      <c r="P1028" s="5">
        <v>-29.2299204312232</v>
      </c>
      <c r="Q1028" s="5">
        <v>0.0</v>
      </c>
      <c r="R1028" s="5">
        <v>0.0</v>
      </c>
      <c r="S1028" s="5">
        <v>0.0</v>
      </c>
      <c r="T1028" s="5">
        <v>180.098754088778</v>
      </c>
    </row>
    <row r="1029">
      <c r="A1029" s="5">
        <v>1027.0</v>
      </c>
      <c r="B1029" s="6">
        <v>45070.0</v>
      </c>
      <c r="C1029" s="5">
        <v>209.09839072116</v>
      </c>
      <c r="D1029" s="5">
        <v>142.842799110556</v>
      </c>
      <c r="E1029" s="5">
        <v>220.685865197356</v>
      </c>
      <c r="F1029" s="5">
        <v>209.09839072116</v>
      </c>
      <c r="G1029" s="5">
        <v>209.09839072116</v>
      </c>
      <c r="H1029" s="5">
        <v>-28.3844817747224</v>
      </c>
      <c r="I1029" s="5">
        <v>-28.3844817747224</v>
      </c>
      <c r="J1029" s="5">
        <v>-28.3844817747224</v>
      </c>
      <c r="K1029" s="5">
        <v>0.608132553626258</v>
      </c>
      <c r="L1029" s="5">
        <v>0.608132553626258</v>
      </c>
      <c r="M1029" s="5">
        <v>0.608132553626258</v>
      </c>
      <c r="N1029" s="5">
        <v>-28.9926143283487</v>
      </c>
      <c r="O1029" s="5">
        <v>-28.9926143283487</v>
      </c>
      <c r="P1029" s="5">
        <v>-28.9926143283487</v>
      </c>
      <c r="Q1029" s="5">
        <v>0.0</v>
      </c>
      <c r="R1029" s="5">
        <v>0.0</v>
      </c>
      <c r="S1029" s="5">
        <v>0.0</v>
      </c>
      <c r="T1029" s="5">
        <v>180.713908946438</v>
      </c>
    </row>
    <row r="1030">
      <c r="A1030" s="5">
        <v>1028.0</v>
      </c>
      <c r="B1030" s="6">
        <v>45071.0</v>
      </c>
      <c r="C1030" s="5">
        <v>209.115431694455</v>
      </c>
      <c r="D1030" s="5">
        <v>140.755352463795</v>
      </c>
      <c r="E1030" s="5">
        <v>217.391966314857</v>
      </c>
      <c r="F1030" s="5">
        <v>209.115431694455</v>
      </c>
      <c r="G1030" s="5">
        <v>209.115431694455</v>
      </c>
      <c r="H1030" s="5">
        <v>-28.8573251695376</v>
      </c>
      <c r="I1030" s="5">
        <v>-28.8573251695376</v>
      </c>
      <c r="J1030" s="5">
        <v>-28.8573251695376</v>
      </c>
      <c r="K1030" s="5">
        <v>-0.225417905348881</v>
      </c>
      <c r="L1030" s="5">
        <v>-0.225417905348881</v>
      </c>
      <c r="M1030" s="5">
        <v>-0.225417905348881</v>
      </c>
      <c r="N1030" s="5">
        <v>-28.6319072641887</v>
      </c>
      <c r="O1030" s="5">
        <v>-28.6319072641887</v>
      </c>
      <c r="P1030" s="5">
        <v>-28.6319072641887</v>
      </c>
      <c r="Q1030" s="5">
        <v>0.0</v>
      </c>
      <c r="R1030" s="5">
        <v>0.0</v>
      </c>
      <c r="S1030" s="5">
        <v>0.0</v>
      </c>
      <c r="T1030" s="5">
        <v>180.258106524918</v>
      </c>
    </row>
    <row r="1031">
      <c r="A1031" s="5">
        <v>1029.0</v>
      </c>
      <c r="B1031" s="6">
        <v>45072.0</v>
      </c>
      <c r="C1031" s="5">
        <v>209.132472667751</v>
      </c>
      <c r="D1031" s="5">
        <v>139.28428027343</v>
      </c>
      <c r="E1031" s="5">
        <v>219.732376270924</v>
      </c>
      <c r="F1031" s="5">
        <v>209.132472667751</v>
      </c>
      <c r="G1031" s="5">
        <v>209.132472667751</v>
      </c>
      <c r="H1031" s="5">
        <v>-28.8944052552661</v>
      </c>
      <c r="I1031" s="5">
        <v>-28.8944052552661</v>
      </c>
      <c r="J1031" s="5">
        <v>-28.8944052552661</v>
      </c>
      <c r="K1031" s="5">
        <v>-0.739640081279782</v>
      </c>
      <c r="L1031" s="5">
        <v>-0.739640081279782</v>
      </c>
      <c r="M1031" s="5">
        <v>-0.739640081279782</v>
      </c>
      <c r="N1031" s="5">
        <v>-28.1547651739863</v>
      </c>
      <c r="O1031" s="5">
        <v>-28.1547651739863</v>
      </c>
      <c r="P1031" s="5">
        <v>-28.1547651739863</v>
      </c>
      <c r="Q1031" s="5">
        <v>0.0</v>
      </c>
      <c r="R1031" s="5">
        <v>0.0</v>
      </c>
      <c r="S1031" s="5">
        <v>0.0</v>
      </c>
      <c r="T1031" s="5">
        <v>180.238067412484</v>
      </c>
    </row>
    <row r="1032">
      <c r="A1032" s="5">
        <v>1030.0</v>
      </c>
      <c r="B1032" s="6">
        <v>45076.0</v>
      </c>
      <c r="C1032" s="5">
        <v>209.200636560932</v>
      </c>
      <c r="D1032" s="5">
        <v>143.983246469256</v>
      </c>
      <c r="E1032" s="5">
        <v>226.430343029828</v>
      </c>
      <c r="F1032" s="5">
        <v>209.200636560932</v>
      </c>
      <c r="G1032" s="5">
        <v>209.200636560932</v>
      </c>
      <c r="H1032" s="5">
        <v>-25.0450404499088</v>
      </c>
      <c r="I1032" s="5">
        <v>-25.0450404499088</v>
      </c>
      <c r="J1032" s="5">
        <v>-25.0450404499088</v>
      </c>
      <c r="K1032" s="5">
        <v>0.247324772139256</v>
      </c>
      <c r="L1032" s="5">
        <v>0.247324772139256</v>
      </c>
      <c r="M1032" s="5">
        <v>0.247324772139256</v>
      </c>
      <c r="N1032" s="5">
        <v>-25.2923652220481</v>
      </c>
      <c r="O1032" s="5">
        <v>-25.2923652220481</v>
      </c>
      <c r="P1032" s="5">
        <v>-25.2923652220481</v>
      </c>
      <c r="Q1032" s="5">
        <v>0.0</v>
      </c>
      <c r="R1032" s="5">
        <v>0.0</v>
      </c>
      <c r="S1032" s="5">
        <v>0.0</v>
      </c>
      <c r="T1032" s="5">
        <v>184.155596111023</v>
      </c>
    </row>
    <row r="1033">
      <c r="A1033" s="5">
        <v>1031.0</v>
      </c>
      <c r="B1033" s="6">
        <v>45077.0</v>
      </c>
      <c r="C1033" s="5">
        <v>209.217677534227</v>
      </c>
      <c r="D1033" s="5">
        <v>146.307327940479</v>
      </c>
      <c r="E1033" s="5">
        <v>222.028552346319</v>
      </c>
      <c r="F1033" s="5">
        <v>209.217677534227</v>
      </c>
      <c r="G1033" s="5">
        <v>209.217677534227</v>
      </c>
      <c r="H1033" s="5">
        <v>-23.7963865928876</v>
      </c>
      <c r="I1033" s="5">
        <v>-23.7963865928876</v>
      </c>
      <c r="J1033" s="5">
        <v>-23.7963865928876</v>
      </c>
      <c r="K1033" s="5">
        <v>0.608132553626923</v>
      </c>
      <c r="L1033" s="5">
        <v>0.608132553626923</v>
      </c>
      <c r="M1033" s="5">
        <v>0.608132553626923</v>
      </c>
      <c r="N1033" s="5">
        <v>-24.4045191465146</v>
      </c>
      <c r="O1033" s="5">
        <v>-24.4045191465146</v>
      </c>
      <c r="P1033" s="5">
        <v>-24.4045191465146</v>
      </c>
      <c r="Q1033" s="5">
        <v>0.0</v>
      </c>
      <c r="R1033" s="5">
        <v>0.0</v>
      </c>
      <c r="S1033" s="5">
        <v>0.0</v>
      </c>
      <c r="T1033" s="5">
        <v>185.421290941339</v>
      </c>
    </row>
    <row r="1034">
      <c r="A1034" s="5">
        <v>1032.0</v>
      </c>
      <c r="B1034" s="6">
        <v>45078.0</v>
      </c>
      <c r="C1034" s="5">
        <v>209.234718507522</v>
      </c>
      <c r="D1034" s="5">
        <v>144.244406534162</v>
      </c>
      <c r="E1034" s="5">
        <v>228.961668867191</v>
      </c>
      <c r="F1034" s="5">
        <v>209.234718507522</v>
      </c>
      <c r="G1034" s="5">
        <v>209.234718507522</v>
      </c>
      <c r="H1034" s="5">
        <v>-23.7031097908733</v>
      </c>
      <c r="I1034" s="5">
        <v>-23.7031097908733</v>
      </c>
      <c r="J1034" s="5">
        <v>-23.7031097908733</v>
      </c>
      <c r="K1034" s="5">
        <v>-0.225417905351846</v>
      </c>
      <c r="L1034" s="5">
        <v>-0.225417905351846</v>
      </c>
      <c r="M1034" s="5">
        <v>-0.225417905351846</v>
      </c>
      <c r="N1034" s="5">
        <v>-23.4776918855214</v>
      </c>
      <c r="O1034" s="5">
        <v>-23.4776918855214</v>
      </c>
      <c r="P1034" s="5">
        <v>-23.4776918855214</v>
      </c>
      <c r="Q1034" s="5">
        <v>0.0</v>
      </c>
      <c r="R1034" s="5">
        <v>0.0</v>
      </c>
      <c r="S1034" s="5">
        <v>0.0</v>
      </c>
      <c r="T1034" s="5">
        <v>185.531608716649</v>
      </c>
    </row>
    <row r="1035">
      <c r="A1035" s="5">
        <v>1033.0</v>
      </c>
      <c r="B1035" s="6">
        <v>45079.0</v>
      </c>
      <c r="C1035" s="5">
        <v>209.251759480817</v>
      </c>
      <c r="D1035" s="5">
        <v>142.150131353254</v>
      </c>
      <c r="E1035" s="5">
        <v>222.965670114923</v>
      </c>
      <c r="F1035" s="5">
        <v>209.251759480817</v>
      </c>
      <c r="G1035" s="5">
        <v>209.251759480817</v>
      </c>
      <c r="H1035" s="5">
        <v>-23.2671046720488</v>
      </c>
      <c r="I1035" s="5">
        <v>-23.2671046720488</v>
      </c>
      <c r="J1035" s="5">
        <v>-23.2671046720488</v>
      </c>
      <c r="K1035" s="5">
        <v>-0.739640081280937</v>
      </c>
      <c r="L1035" s="5">
        <v>-0.739640081280937</v>
      </c>
      <c r="M1035" s="5">
        <v>-0.739640081280937</v>
      </c>
      <c r="N1035" s="5">
        <v>-22.5274645907678</v>
      </c>
      <c r="O1035" s="5">
        <v>-22.5274645907678</v>
      </c>
      <c r="P1035" s="5">
        <v>-22.5274645907678</v>
      </c>
      <c r="Q1035" s="5">
        <v>0.0</v>
      </c>
      <c r="R1035" s="5">
        <v>0.0</v>
      </c>
      <c r="S1035" s="5">
        <v>0.0</v>
      </c>
      <c r="T1035" s="5">
        <v>185.984654808769</v>
      </c>
    </row>
    <row r="1036">
      <c r="A1036" s="5">
        <v>1034.0</v>
      </c>
      <c r="B1036" s="6">
        <v>45082.0</v>
      </c>
      <c r="C1036" s="5">
        <v>209.302882400703</v>
      </c>
      <c r="D1036" s="5">
        <v>151.305945447241</v>
      </c>
      <c r="E1036" s="5">
        <v>229.057408929376</v>
      </c>
      <c r="F1036" s="5">
        <v>209.302882400703</v>
      </c>
      <c r="G1036" s="5">
        <v>209.302882400703</v>
      </c>
      <c r="H1036" s="5">
        <v>-18.52106788205</v>
      </c>
      <c r="I1036" s="5">
        <v>-18.52106788205</v>
      </c>
      <c r="J1036" s="5">
        <v>-18.52106788205</v>
      </c>
      <c r="K1036" s="5">
        <v>1.16457933345093</v>
      </c>
      <c r="L1036" s="5">
        <v>1.16457933345093</v>
      </c>
      <c r="M1036" s="5">
        <v>1.16457933345093</v>
      </c>
      <c r="N1036" s="5">
        <v>-19.6856472155009</v>
      </c>
      <c r="O1036" s="5">
        <v>-19.6856472155009</v>
      </c>
      <c r="P1036" s="5">
        <v>-19.6856472155009</v>
      </c>
      <c r="Q1036" s="5">
        <v>0.0</v>
      </c>
      <c r="R1036" s="5">
        <v>0.0</v>
      </c>
      <c r="S1036" s="5">
        <v>0.0</v>
      </c>
      <c r="T1036" s="5">
        <v>190.781814518653</v>
      </c>
    </row>
    <row r="1037">
      <c r="A1037" s="5">
        <v>1035.0</v>
      </c>
      <c r="B1037" s="6">
        <v>45083.0</v>
      </c>
      <c r="C1037" s="5">
        <v>209.319923373998</v>
      </c>
      <c r="D1037" s="5">
        <v>149.48329797059</v>
      </c>
      <c r="E1037" s="5">
        <v>231.305596710321</v>
      </c>
      <c r="F1037" s="5">
        <v>209.319923373998</v>
      </c>
      <c r="G1037" s="5">
        <v>209.319923373998</v>
      </c>
      <c r="H1037" s="5">
        <v>-18.5390120833223</v>
      </c>
      <c r="I1037" s="5">
        <v>-18.5390120833223</v>
      </c>
      <c r="J1037" s="5">
        <v>-18.5390120833223</v>
      </c>
      <c r="K1037" s="5">
        <v>0.247324772137921</v>
      </c>
      <c r="L1037" s="5">
        <v>0.247324772137921</v>
      </c>
      <c r="M1037" s="5">
        <v>0.247324772137921</v>
      </c>
      <c r="N1037" s="5">
        <v>-18.7863368554602</v>
      </c>
      <c r="O1037" s="5">
        <v>-18.7863368554602</v>
      </c>
      <c r="P1037" s="5">
        <v>-18.7863368554602</v>
      </c>
      <c r="Q1037" s="5">
        <v>0.0</v>
      </c>
      <c r="R1037" s="5">
        <v>0.0</v>
      </c>
      <c r="S1037" s="5">
        <v>0.0</v>
      </c>
      <c r="T1037" s="5">
        <v>190.780911290676</v>
      </c>
    </row>
    <row r="1038">
      <c r="A1038" s="5">
        <v>1036.0</v>
      </c>
      <c r="B1038" s="6">
        <v>45084.0</v>
      </c>
      <c r="C1038" s="5">
        <v>209.336964347294</v>
      </c>
      <c r="D1038" s="5">
        <v>150.145239444547</v>
      </c>
      <c r="E1038" s="5">
        <v>233.550254666638</v>
      </c>
      <c r="F1038" s="5">
        <v>209.336964347294</v>
      </c>
      <c r="G1038" s="5">
        <v>209.336964347294</v>
      </c>
      <c r="H1038" s="5">
        <v>-17.3218794673148</v>
      </c>
      <c r="I1038" s="5">
        <v>-17.3218794673148</v>
      </c>
      <c r="J1038" s="5">
        <v>-17.3218794673148</v>
      </c>
      <c r="K1038" s="5">
        <v>0.608132553626033</v>
      </c>
      <c r="L1038" s="5">
        <v>0.608132553626033</v>
      </c>
      <c r="M1038" s="5">
        <v>0.608132553626033</v>
      </c>
      <c r="N1038" s="5">
        <v>-17.9300120209409</v>
      </c>
      <c r="O1038" s="5">
        <v>-17.9300120209409</v>
      </c>
      <c r="P1038" s="5">
        <v>-17.9300120209409</v>
      </c>
      <c r="Q1038" s="5">
        <v>0.0</v>
      </c>
      <c r="R1038" s="5">
        <v>0.0</v>
      </c>
      <c r="S1038" s="5">
        <v>0.0</v>
      </c>
      <c r="T1038" s="5">
        <v>192.015084879979</v>
      </c>
    </row>
    <row r="1039">
      <c r="A1039" s="5">
        <v>1037.0</v>
      </c>
      <c r="B1039" s="6">
        <v>45085.0</v>
      </c>
      <c r="C1039" s="5">
        <v>209.354005320589</v>
      </c>
      <c r="D1039" s="5">
        <v>153.645705251232</v>
      </c>
      <c r="E1039" s="5">
        <v>234.497007528713</v>
      </c>
      <c r="F1039" s="5">
        <v>209.354005320589</v>
      </c>
      <c r="G1039" s="5">
        <v>209.354005320589</v>
      </c>
      <c r="H1039" s="5">
        <v>-17.3508439278348</v>
      </c>
      <c r="I1039" s="5">
        <v>-17.3508439278348</v>
      </c>
      <c r="J1039" s="5">
        <v>-17.3508439278348</v>
      </c>
      <c r="K1039" s="5">
        <v>-0.225417905348039</v>
      </c>
      <c r="L1039" s="5">
        <v>-0.225417905348039</v>
      </c>
      <c r="M1039" s="5">
        <v>-0.225417905348039</v>
      </c>
      <c r="N1039" s="5">
        <v>-17.1254260224868</v>
      </c>
      <c r="O1039" s="5">
        <v>-17.1254260224868</v>
      </c>
      <c r="P1039" s="5">
        <v>-17.1254260224868</v>
      </c>
      <c r="Q1039" s="5">
        <v>0.0</v>
      </c>
      <c r="R1039" s="5">
        <v>0.0</v>
      </c>
      <c r="S1039" s="5">
        <v>0.0</v>
      </c>
      <c r="T1039" s="5">
        <v>192.003161392754</v>
      </c>
    </row>
    <row r="1040">
      <c r="A1040" s="5">
        <v>1038.0</v>
      </c>
      <c r="B1040" s="6">
        <v>45086.0</v>
      </c>
      <c r="C1040" s="5">
        <v>209.371046293884</v>
      </c>
      <c r="D1040" s="5">
        <v>151.431801664499</v>
      </c>
      <c r="E1040" s="5">
        <v>229.401583752127</v>
      </c>
      <c r="F1040" s="5">
        <v>209.371046293884</v>
      </c>
      <c r="G1040" s="5">
        <v>209.371046293884</v>
      </c>
      <c r="H1040" s="5">
        <v>-17.1189393356784</v>
      </c>
      <c r="I1040" s="5">
        <v>-17.1189393356784</v>
      </c>
      <c r="J1040" s="5">
        <v>-17.1189393356784</v>
      </c>
      <c r="K1040" s="5">
        <v>-0.739640081282093</v>
      </c>
      <c r="L1040" s="5">
        <v>-0.739640081282093</v>
      </c>
      <c r="M1040" s="5">
        <v>-0.739640081282093</v>
      </c>
      <c r="N1040" s="5">
        <v>-16.3792992543963</v>
      </c>
      <c r="O1040" s="5">
        <v>-16.3792992543963</v>
      </c>
      <c r="P1040" s="5">
        <v>-16.3792992543963</v>
      </c>
      <c r="Q1040" s="5">
        <v>0.0</v>
      </c>
      <c r="R1040" s="5">
        <v>0.0</v>
      </c>
      <c r="S1040" s="5">
        <v>0.0</v>
      </c>
      <c r="T1040" s="5">
        <v>192.252106958206</v>
      </c>
    </row>
    <row r="1041">
      <c r="A1041" s="5">
        <v>1039.0</v>
      </c>
      <c r="B1041" s="6">
        <v>45089.0</v>
      </c>
      <c r="C1041" s="5">
        <v>209.42216921377</v>
      </c>
      <c r="D1041" s="5">
        <v>158.42417176573</v>
      </c>
      <c r="E1041" s="5">
        <v>233.547545768772</v>
      </c>
      <c r="F1041" s="5">
        <v>209.42216921377</v>
      </c>
      <c r="G1041" s="5">
        <v>209.42216921377</v>
      </c>
      <c r="H1041" s="5">
        <v>-13.3619170617542</v>
      </c>
      <c r="I1041" s="5">
        <v>-13.3619170617542</v>
      </c>
      <c r="J1041" s="5">
        <v>-13.3619170617542</v>
      </c>
      <c r="K1041" s="5">
        <v>1.16457933345116</v>
      </c>
      <c r="L1041" s="5">
        <v>1.16457933345116</v>
      </c>
      <c r="M1041" s="5">
        <v>1.16457933345116</v>
      </c>
      <c r="N1041" s="5">
        <v>-14.5264963952054</v>
      </c>
      <c r="O1041" s="5">
        <v>-14.5264963952054</v>
      </c>
      <c r="P1041" s="5">
        <v>-14.5264963952054</v>
      </c>
      <c r="Q1041" s="5">
        <v>0.0</v>
      </c>
      <c r="R1041" s="5">
        <v>0.0</v>
      </c>
      <c r="S1041" s="5">
        <v>0.0</v>
      </c>
      <c r="T1041" s="5">
        <v>196.060252152016</v>
      </c>
    </row>
    <row r="1042">
      <c r="A1042" s="5">
        <v>1040.0</v>
      </c>
      <c r="B1042" s="6">
        <v>45090.0</v>
      </c>
      <c r="C1042" s="5">
        <v>209.439210187065</v>
      </c>
      <c r="D1042" s="5">
        <v>153.947761712942</v>
      </c>
      <c r="E1042" s="5">
        <v>235.247471164928</v>
      </c>
      <c r="F1042" s="5">
        <v>209.439210187065</v>
      </c>
      <c r="G1042" s="5">
        <v>209.439210187065</v>
      </c>
      <c r="H1042" s="5">
        <v>-13.7908674352357</v>
      </c>
      <c r="I1042" s="5">
        <v>-13.7908674352357</v>
      </c>
      <c r="J1042" s="5">
        <v>-13.7908674352357</v>
      </c>
      <c r="K1042" s="5">
        <v>0.24732477213801</v>
      </c>
      <c r="L1042" s="5">
        <v>0.24732477213801</v>
      </c>
      <c r="M1042" s="5">
        <v>0.24732477213801</v>
      </c>
      <c r="N1042" s="5">
        <v>-14.0381922073737</v>
      </c>
      <c r="O1042" s="5">
        <v>-14.0381922073737</v>
      </c>
      <c r="P1042" s="5">
        <v>-14.0381922073737</v>
      </c>
      <c r="Q1042" s="5">
        <v>0.0</v>
      </c>
      <c r="R1042" s="5">
        <v>0.0</v>
      </c>
      <c r="S1042" s="5">
        <v>0.0</v>
      </c>
      <c r="T1042" s="5">
        <v>195.64834275183</v>
      </c>
    </row>
    <row r="1043">
      <c r="A1043" s="5">
        <v>1041.0</v>
      </c>
      <c r="B1043" s="6">
        <v>45091.0</v>
      </c>
      <c r="C1043" s="5">
        <v>209.456251160361</v>
      </c>
      <c r="D1043" s="5">
        <v>156.706116892756</v>
      </c>
      <c r="E1043" s="5">
        <v>238.504127397021</v>
      </c>
      <c r="F1043" s="5">
        <v>209.456251160361</v>
      </c>
      <c r="G1043" s="5">
        <v>209.456251160361</v>
      </c>
      <c r="H1043" s="5">
        <v>-13.001636488192</v>
      </c>
      <c r="I1043" s="5">
        <v>-13.001636488192</v>
      </c>
      <c r="J1043" s="5">
        <v>-13.001636488192</v>
      </c>
      <c r="K1043" s="5">
        <v>0.608132553625144</v>
      </c>
      <c r="L1043" s="5">
        <v>0.608132553625144</v>
      </c>
      <c r="M1043" s="5">
        <v>0.608132553625144</v>
      </c>
      <c r="N1043" s="5">
        <v>-13.6097690418172</v>
      </c>
      <c r="O1043" s="5">
        <v>-13.6097690418172</v>
      </c>
      <c r="P1043" s="5">
        <v>-13.6097690418172</v>
      </c>
      <c r="Q1043" s="5">
        <v>0.0</v>
      </c>
      <c r="R1043" s="5">
        <v>0.0</v>
      </c>
      <c r="S1043" s="5">
        <v>0.0</v>
      </c>
      <c r="T1043" s="5">
        <v>196.454614672169</v>
      </c>
    </row>
    <row r="1044">
      <c r="A1044" s="5">
        <v>1042.0</v>
      </c>
      <c r="B1044" s="6">
        <v>45092.0</v>
      </c>
      <c r="C1044" s="5">
        <v>209.473292133656</v>
      </c>
      <c r="D1044" s="5">
        <v>157.804644245741</v>
      </c>
      <c r="E1044" s="5">
        <v>237.913582037635</v>
      </c>
      <c r="F1044" s="5">
        <v>209.473292133656</v>
      </c>
      <c r="G1044" s="5">
        <v>209.473292133656</v>
      </c>
      <c r="H1044" s="5">
        <v>-13.4610117645539</v>
      </c>
      <c r="I1044" s="5">
        <v>-13.4610117645539</v>
      </c>
      <c r="J1044" s="5">
        <v>-13.4610117645539</v>
      </c>
      <c r="K1044" s="5">
        <v>-0.225417905351004</v>
      </c>
      <c r="L1044" s="5">
        <v>-0.225417905351004</v>
      </c>
      <c r="M1044" s="5">
        <v>-0.225417905351004</v>
      </c>
      <c r="N1044" s="5">
        <v>-13.2355938592029</v>
      </c>
      <c r="O1044" s="5">
        <v>-13.2355938592029</v>
      </c>
      <c r="P1044" s="5">
        <v>-13.2355938592029</v>
      </c>
      <c r="Q1044" s="5">
        <v>0.0</v>
      </c>
      <c r="R1044" s="5">
        <v>0.0</v>
      </c>
      <c r="S1044" s="5">
        <v>0.0</v>
      </c>
      <c r="T1044" s="5">
        <v>196.012280369102</v>
      </c>
    </row>
    <row r="1045">
      <c r="A1045" s="5">
        <v>1043.0</v>
      </c>
      <c r="B1045" s="6">
        <v>45093.0</v>
      </c>
      <c r="C1045" s="5">
        <v>209.490333106951</v>
      </c>
      <c r="D1045" s="5">
        <v>156.181027939723</v>
      </c>
      <c r="E1045" s="5">
        <v>237.039571038999</v>
      </c>
      <c r="F1045" s="5">
        <v>209.490333106951</v>
      </c>
      <c r="G1045" s="5">
        <v>209.490333106951</v>
      </c>
      <c r="H1045" s="5">
        <v>-13.6481316583913</v>
      </c>
      <c r="I1045" s="5">
        <v>-13.6481316583913</v>
      </c>
      <c r="J1045" s="5">
        <v>-13.6481316583913</v>
      </c>
      <c r="K1045" s="5">
        <v>-0.739640081281187</v>
      </c>
      <c r="L1045" s="5">
        <v>-0.739640081281187</v>
      </c>
      <c r="M1045" s="5">
        <v>-0.739640081281187</v>
      </c>
      <c r="N1045" s="5">
        <v>-12.9084915771101</v>
      </c>
      <c r="O1045" s="5">
        <v>-12.9084915771101</v>
      </c>
      <c r="P1045" s="5">
        <v>-12.9084915771101</v>
      </c>
      <c r="Q1045" s="5">
        <v>0.0</v>
      </c>
      <c r="R1045" s="5">
        <v>0.0</v>
      </c>
      <c r="S1045" s="5">
        <v>0.0</v>
      </c>
      <c r="T1045" s="5">
        <v>195.84220144856</v>
      </c>
    </row>
    <row r="1046">
      <c r="A1046" s="5">
        <v>1044.0</v>
      </c>
      <c r="B1046" s="6">
        <v>45097.0</v>
      </c>
      <c r="C1046" s="5">
        <v>209.558497000132</v>
      </c>
      <c r="D1046" s="5">
        <v>157.845154321271</v>
      </c>
      <c r="E1046" s="5">
        <v>240.119432094923</v>
      </c>
      <c r="F1046" s="5">
        <v>209.558497000132</v>
      </c>
      <c r="G1046" s="5">
        <v>209.558497000132</v>
      </c>
      <c r="H1046" s="5">
        <v>-11.642094614072</v>
      </c>
      <c r="I1046" s="5">
        <v>-11.642094614072</v>
      </c>
      <c r="J1046" s="5">
        <v>-11.642094614072</v>
      </c>
      <c r="K1046" s="5">
        <v>0.247324772138098</v>
      </c>
      <c r="L1046" s="5">
        <v>0.247324772138098</v>
      </c>
      <c r="M1046" s="5">
        <v>0.247324772138098</v>
      </c>
      <c r="N1046" s="5">
        <v>-11.8894193862101</v>
      </c>
      <c r="O1046" s="5">
        <v>-11.8894193862101</v>
      </c>
      <c r="P1046" s="5">
        <v>-11.8894193862101</v>
      </c>
      <c r="Q1046" s="5">
        <v>0.0</v>
      </c>
      <c r="R1046" s="5">
        <v>0.0</v>
      </c>
      <c r="S1046" s="5">
        <v>0.0</v>
      </c>
      <c r="T1046" s="5">
        <v>197.91640238606</v>
      </c>
    </row>
    <row r="1047">
      <c r="A1047" s="5">
        <v>1045.0</v>
      </c>
      <c r="B1047" s="6">
        <v>45098.0</v>
      </c>
      <c r="C1047" s="5">
        <v>209.575537973427</v>
      </c>
      <c r="D1047" s="5">
        <v>159.260356180589</v>
      </c>
      <c r="E1047" s="5">
        <v>237.517965896533</v>
      </c>
      <c r="F1047" s="5">
        <v>209.575537973427</v>
      </c>
      <c r="G1047" s="5">
        <v>209.575537973427</v>
      </c>
      <c r="H1047" s="5">
        <v>-11.0485094797565</v>
      </c>
      <c r="I1047" s="5">
        <v>-11.0485094797565</v>
      </c>
      <c r="J1047" s="5">
        <v>-11.0485094797565</v>
      </c>
      <c r="K1047" s="5">
        <v>0.608132553626922</v>
      </c>
      <c r="L1047" s="5">
        <v>0.608132553626922</v>
      </c>
      <c r="M1047" s="5">
        <v>0.608132553626922</v>
      </c>
      <c r="N1047" s="5">
        <v>-11.6566420333834</v>
      </c>
      <c r="O1047" s="5">
        <v>-11.6566420333834</v>
      </c>
      <c r="P1047" s="5">
        <v>-11.6566420333834</v>
      </c>
      <c r="Q1047" s="5">
        <v>0.0</v>
      </c>
      <c r="R1047" s="5">
        <v>0.0</v>
      </c>
      <c r="S1047" s="5">
        <v>0.0</v>
      </c>
      <c r="T1047" s="5">
        <v>198.527028493671</v>
      </c>
    </row>
    <row r="1048">
      <c r="A1048" s="5">
        <v>1046.0</v>
      </c>
      <c r="B1048" s="6">
        <v>45099.0</v>
      </c>
      <c r="C1048" s="5">
        <v>209.592578946723</v>
      </c>
      <c r="D1048" s="5">
        <v>154.908356302224</v>
      </c>
      <c r="E1048" s="5">
        <v>235.691545885153</v>
      </c>
      <c r="F1048" s="5">
        <v>209.592578946723</v>
      </c>
      <c r="G1048" s="5">
        <v>209.592578946723</v>
      </c>
      <c r="H1048" s="5">
        <v>-11.6377984572774</v>
      </c>
      <c r="I1048" s="5">
        <v>-11.6377984572774</v>
      </c>
      <c r="J1048" s="5">
        <v>-11.6377984572774</v>
      </c>
      <c r="K1048" s="5">
        <v>-0.225417905348657</v>
      </c>
      <c r="L1048" s="5">
        <v>-0.225417905348657</v>
      </c>
      <c r="M1048" s="5">
        <v>-0.225417905348657</v>
      </c>
      <c r="N1048" s="5">
        <v>-11.4123805519287</v>
      </c>
      <c r="O1048" s="5">
        <v>-11.4123805519287</v>
      </c>
      <c r="P1048" s="5">
        <v>-11.4123805519287</v>
      </c>
      <c r="Q1048" s="5">
        <v>0.0</v>
      </c>
      <c r="R1048" s="5">
        <v>0.0</v>
      </c>
      <c r="S1048" s="5">
        <v>0.0</v>
      </c>
      <c r="T1048" s="5">
        <v>197.954780489445</v>
      </c>
    </row>
    <row r="1049">
      <c r="A1049" s="5">
        <v>1047.0</v>
      </c>
      <c r="B1049" s="6">
        <v>45100.0</v>
      </c>
      <c r="C1049" s="5">
        <v>209.609619920018</v>
      </c>
      <c r="D1049" s="5">
        <v>156.280846986151</v>
      </c>
      <c r="E1049" s="5">
        <v>235.4102711784</v>
      </c>
      <c r="F1049" s="5">
        <v>209.609619920018</v>
      </c>
      <c r="G1049" s="5">
        <v>209.609619920018</v>
      </c>
      <c r="H1049" s="5">
        <v>-11.88696367893</v>
      </c>
      <c r="I1049" s="5">
        <v>-11.88696367893</v>
      </c>
      <c r="J1049" s="5">
        <v>-11.88696367893</v>
      </c>
      <c r="K1049" s="5">
        <v>-0.739640081278911</v>
      </c>
      <c r="L1049" s="5">
        <v>-0.739640081278911</v>
      </c>
      <c r="M1049" s="5">
        <v>-0.739640081278911</v>
      </c>
      <c r="N1049" s="5">
        <v>-11.147323597651</v>
      </c>
      <c r="O1049" s="5">
        <v>-11.147323597651</v>
      </c>
      <c r="P1049" s="5">
        <v>-11.147323597651</v>
      </c>
      <c r="Q1049" s="5">
        <v>0.0</v>
      </c>
      <c r="R1049" s="5">
        <v>0.0</v>
      </c>
      <c r="S1049" s="5">
        <v>0.0</v>
      </c>
      <c r="T1049" s="5">
        <v>197.722656241088</v>
      </c>
    </row>
    <row r="1050">
      <c r="A1050" s="5">
        <v>1048.0</v>
      </c>
      <c r="B1050" s="6">
        <v>45103.0</v>
      </c>
      <c r="C1050" s="5">
        <v>209.660742839904</v>
      </c>
      <c r="D1050" s="5">
        <v>159.2062771216</v>
      </c>
      <c r="E1050" s="5">
        <v>241.115812442042</v>
      </c>
      <c r="F1050" s="5">
        <v>209.660742839904</v>
      </c>
      <c r="G1050" s="5">
        <v>209.660742839904</v>
      </c>
      <c r="H1050" s="5">
        <v>-8.9852119859157</v>
      </c>
      <c r="I1050" s="5">
        <v>-8.9852119859157</v>
      </c>
      <c r="J1050" s="5">
        <v>-8.9852119859157</v>
      </c>
      <c r="K1050" s="5">
        <v>1.16457933345021</v>
      </c>
      <c r="L1050" s="5">
        <v>1.16457933345021</v>
      </c>
      <c r="M1050" s="5">
        <v>1.16457933345021</v>
      </c>
      <c r="N1050" s="5">
        <v>-10.1497913193659</v>
      </c>
      <c r="O1050" s="5">
        <v>-10.1497913193659</v>
      </c>
      <c r="P1050" s="5">
        <v>-10.1497913193659</v>
      </c>
      <c r="Q1050" s="5">
        <v>0.0</v>
      </c>
      <c r="R1050" s="5">
        <v>0.0</v>
      </c>
      <c r="S1050" s="5">
        <v>0.0</v>
      </c>
      <c r="T1050" s="5">
        <v>200.675530853988</v>
      </c>
    </row>
    <row r="1051">
      <c r="A1051" s="5">
        <v>1049.0</v>
      </c>
      <c r="B1051" s="6">
        <v>45104.0</v>
      </c>
      <c r="C1051" s="5">
        <v>209.677783813199</v>
      </c>
      <c r="D1051" s="5">
        <v>157.300635253347</v>
      </c>
      <c r="E1051" s="5">
        <v>241.377326128758</v>
      </c>
      <c r="F1051" s="5">
        <v>209.677783813199</v>
      </c>
      <c r="G1051" s="5">
        <v>209.677783813199</v>
      </c>
      <c r="H1051" s="5">
        <v>-9.48331978931722</v>
      </c>
      <c r="I1051" s="5">
        <v>-9.48331978931722</v>
      </c>
      <c r="J1051" s="5">
        <v>-9.48331978931722</v>
      </c>
      <c r="K1051" s="5">
        <v>0.247324772139483</v>
      </c>
      <c r="L1051" s="5">
        <v>0.247324772139483</v>
      </c>
      <c r="M1051" s="5">
        <v>0.247324772139483</v>
      </c>
      <c r="N1051" s="5">
        <v>-9.7306445614567</v>
      </c>
      <c r="O1051" s="5">
        <v>-9.7306445614567</v>
      </c>
      <c r="P1051" s="5">
        <v>-9.7306445614567</v>
      </c>
      <c r="Q1051" s="5">
        <v>0.0</v>
      </c>
      <c r="R1051" s="5">
        <v>0.0</v>
      </c>
      <c r="S1051" s="5">
        <v>0.0</v>
      </c>
      <c r="T1051" s="5">
        <v>200.194464023882</v>
      </c>
    </row>
    <row r="1052">
      <c r="A1052" s="5">
        <v>1050.0</v>
      </c>
      <c r="B1052" s="6">
        <v>45105.0</v>
      </c>
      <c r="C1052" s="5">
        <v>209.694824786494</v>
      </c>
      <c r="D1052" s="5">
        <v>161.884885351332</v>
      </c>
      <c r="E1052" s="5">
        <v>240.630184772435</v>
      </c>
      <c r="F1052" s="5">
        <v>209.694824786494</v>
      </c>
      <c r="G1052" s="5">
        <v>209.694824786494</v>
      </c>
      <c r="H1052" s="5">
        <v>-8.65433495453511</v>
      </c>
      <c r="I1052" s="5">
        <v>-8.65433495453511</v>
      </c>
      <c r="J1052" s="5">
        <v>-8.65433495453511</v>
      </c>
      <c r="K1052" s="5">
        <v>0.608132553628701</v>
      </c>
      <c r="L1052" s="5">
        <v>0.608132553628701</v>
      </c>
      <c r="M1052" s="5">
        <v>0.608132553628701</v>
      </c>
      <c r="N1052" s="5">
        <v>-9.26246750816381</v>
      </c>
      <c r="O1052" s="5">
        <v>-9.26246750816381</v>
      </c>
      <c r="P1052" s="5">
        <v>-9.26246750816381</v>
      </c>
      <c r="Q1052" s="5">
        <v>0.0</v>
      </c>
      <c r="R1052" s="5">
        <v>0.0</v>
      </c>
      <c r="S1052" s="5">
        <v>0.0</v>
      </c>
      <c r="T1052" s="5">
        <v>201.040489831959</v>
      </c>
    </row>
    <row r="1053">
      <c r="A1053" s="5">
        <v>1051.0</v>
      </c>
      <c r="B1053" s="6">
        <v>45106.0</v>
      </c>
      <c r="C1053" s="5">
        <v>209.71186575979</v>
      </c>
      <c r="D1053" s="5">
        <v>157.264542618519</v>
      </c>
      <c r="E1053" s="5">
        <v>240.409685227147</v>
      </c>
      <c r="F1053" s="5">
        <v>209.71186575979</v>
      </c>
      <c r="G1053" s="5">
        <v>209.71186575979</v>
      </c>
      <c r="H1053" s="5">
        <v>-8.96975949596278</v>
      </c>
      <c r="I1053" s="5">
        <v>-8.96975949596278</v>
      </c>
      <c r="J1053" s="5">
        <v>-8.96975949596278</v>
      </c>
      <c r="K1053" s="5">
        <v>-0.225417905348236</v>
      </c>
      <c r="L1053" s="5">
        <v>-0.225417905348236</v>
      </c>
      <c r="M1053" s="5">
        <v>-0.225417905348236</v>
      </c>
      <c r="N1053" s="5">
        <v>-8.74434159061454</v>
      </c>
      <c r="O1053" s="5">
        <v>-8.74434159061454</v>
      </c>
      <c r="P1053" s="5">
        <v>-8.74434159061454</v>
      </c>
      <c r="Q1053" s="5">
        <v>0.0</v>
      </c>
      <c r="R1053" s="5">
        <v>0.0</v>
      </c>
      <c r="S1053" s="5">
        <v>0.0</v>
      </c>
      <c r="T1053" s="5">
        <v>200.742106263827</v>
      </c>
    </row>
    <row r="1054">
      <c r="A1054" s="5">
        <v>1052.0</v>
      </c>
      <c r="B1054" s="6">
        <v>45107.0</v>
      </c>
      <c r="C1054" s="5">
        <v>209.728906733085</v>
      </c>
      <c r="D1054" s="5">
        <v>161.16863795651</v>
      </c>
      <c r="E1054" s="5">
        <v>243.132667472594</v>
      </c>
      <c r="F1054" s="5">
        <v>209.728906733085</v>
      </c>
      <c r="G1054" s="5">
        <v>209.728906733085</v>
      </c>
      <c r="H1054" s="5">
        <v>-8.91668368313302</v>
      </c>
      <c r="I1054" s="5">
        <v>-8.91668368313302</v>
      </c>
      <c r="J1054" s="5">
        <v>-8.91668368313302</v>
      </c>
      <c r="K1054" s="5">
        <v>-0.739640081283498</v>
      </c>
      <c r="L1054" s="5">
        <v>-0.739640081283498</v>
      </c>
      <c r="M1054" s="5">
        <v>-0.739640081283498</v>
      </c>
      <c r="N1054" s="5">
        <v>-8.17704360184952</v>
      </c>
      <c r="O1054" s="5">
        <v>-8.17704360184952</v>
      </c>
      <c r="P1054" s="5">
        <v>-8.17704360184952</v>
      </c>
      <c r="Q1054" s="5">
        <v>0.0</v>
      </c>
      <c r="R1054" s="5">
        <v>0.0</v>
      </c>
      <c r="S1054" s="5">
        <v>0.0</v>
      </c>
      <c r="T1054" s="5">
        <v>200.812223049952</v>
      </c>
    </row>
    <row r="1055">
      <c r="A1055" s="5">
        <v>1053.0</v>
      </c>
      <c r="B1055" s="6">
        <v>45110.0</v>
      </c>
      <c r="C1055" s="5">
        <v>209.780029652971</v>
      </c>
      <c r="D1055" s="5">
        <v>161.670454693531</v>
      </c>
      <c r="E1055" s="5">
        <v>245.455250842108</v>
      </c>
      <c r="F1055" s="5">
        <v>209.780029652971</v>
      </c>
      <c r="G1055" s="5">
        <v>209.780029652971</v>
      </c>
      <c r="H1055" s="5">
        <v>-5.04728287906499</v>
      </c>
      <c r="I1055" s="5">
        <v>-5.04728287906499</v>
      </c>
      <c r="J1055" s="5">
        <v>-5.04728287906499</v>
      </c>
      <c r="K1055" s="5">
        <v>1.16457933345055</v>
      </c>
      <c r="L1055" s="5">
        <v>1.16457933345055</v>
      </c>
      <c r="M1055" s="5">
        <v>1.16457933345055</v>
      </c>
      <c r="N1055" s="5">
        <v>-6.21186221251555</v>
      </c>
      <c r="O1055" s="5">
        <v>-6.21186221251555</v>
      </c>
      <c r="P1055" s="5">
        <v>-6.21186221251555</v>
      </c>
      <c r="Q1055" s="5">
        <v>0.0</v>
      </c>
      <c r="R1055" s="5">
        <v>0.0</v>
      </c>
      <c r="S1055" s="5">
        <v>0.0</v>
      </c>
      <c r="T1055" s="5">
        <v>204.732746773906</v>
      </c>
    </row>
    <row r="1056">
      <c r="A1056" s="5">
        <v>1054.0</v>
      </c>
      <c r="B1056" s="6">
        <v>45112.0</v>
      </c>
      <c r="C1056" s="5">
        <v>209.814111599561</v>
      </c>
      <c r="D1056" s="5">
        <v>165.61791257974</v>
      </c>
      <c r="E1056" s="5">
        <v>245.077204664271</v>
      </c>
      <c r="F1056" s="5">
        <v>209.814111599561</v>
      </c>
      <c r="G1056" s="5">
        <v>209.814111599561</v>
      </c>
      <c r="H1056" s="5">
        <v>-4.13006574394607</v>
      </c>
      <c r="I1056" s="5">
        <v>-4.13006574394607</v>
      </c>
      <c r="J1056" s="5">
        <v>-4.13006574394607</v>
      </c>
      <c r="K1056" s="5">
        <v>0.608132553627811</v>
      </c>
      <c r="L1056" s="5">
        <v>0.608132553627811</v>
      </c>
      <c r="M1056" s="5">
        <v>0.608132553627811</v>
      </c>
      <c r="N1056" s="5">
        <v>-4.73819829757388</v>
      </c>
      <c r="O1056" s="5">
        <v>-4.73819829757388</v>
      </c>
      <c r="P1056" s="5">
        <v>-4.73819829757388</v>
      </c>
      <c r="Q1056" s="5">
        <v>0.0</v>
      </c>
      <c r="R1056" s="5">
        <v>0.0</v>
      </c>
      <c r="S1056" s="5">
        <v>0.0</v>
      </c>
      <c r="T1056" s="5">
        <v>205.684045855615</v>
      </c>
    </row>
    <row r="1057">
      <c r="A1057" s="5">
        <v>1055.0</v>
      </c>
      <c r="B1057" s="6">
        <v>45113.0</v>
      </c>
      <c r="C1057" s="5">
        <v>209.831152572856</v>
      </c>
      <c r="D1057" s="5">
        <v>160.779284666141</v>
      </c>
      <c r="E1057" s="5">
        <v>245.969844731543</v>
      </c>
      <c r="F1057" s="5">
        <v>209.831152572856</v>
      </c>
      <c r="G1057" s="5">
        <v>209.831152572856</v>
      </c>
      <c r="H1057" s="5">
        <v>-4.20008215351306</v>
      </c>
      <c r="I1057" s="5">
        <v>-4.20008215351306</v>
      </c>
      <c r="J1057" s="5">
        <v>-4.20008215351306</v>
      </c>
      <c r="K1057" s="5">
        <v>-0.225417905347815</v>
      </c>
      <c r="L1057" s="5">
        <v>-0.225417905347815</v>
      </c>
      <c r="M1057" s="5">
        <v>-0.225417905347815</v>
      </c>
      <c r="N1057" s="5">
        <v>-3.97466424816524</v>
      </c>
      <c r="O1057" s="5">
        <v>-3.97466424816524</v>
      </c>
      <c r="P1057" s="5">
        <v>-3.97466424816524</v>
      </c>
      <c r="Q1057" s="5">
        <v>0.0</v>
      </c>
      <c r="R1057" s="5">
        <v>0.0</v>
      </c>
      <c r="S1057" s="5">
        <v>0.0</v>
      </c>
      <c r="T1057" s="5">
        <v>205.631070419343</v>
      </c>
    </row>
    <row r="1058">
      <c r="A1058" s="5">
        <v>1056.0</v>
      </c>
      <c r="B1058" s="6">
        <v>45114.0</v>
      </c>
      <c r="C1058" s="5">
        <v>209.848193546152</v>
      </c>
      <c r="D1058" s="5">
        <v>166.620846761603</v>
      </c>
      <c r="E1058" s="5">
        <v>244.43177230708</v>
      </c>
      <c r="F1058" s="5">
        <v>209.848193546152</v>
      </c>
      <c r="G1058" s="5">
        <v>209.848193546152</v>
      </c>
      <c r="H1058" s="5">
        <v>-3.94451359250125</v>
      </c>
      <c r="I1058" s="5">
        <v>-3.94451359250125</v>
      </c>
      <c r="J1058" s="5">
        <v>-3.94451359250125</v>
      </c>
      <c r="K1058" s="5">
        <v>-0.739640081281222</v>
      </c>
      <c r="L1058" s="5">
        <v>-0.739640081281222</v>
      </c>
      <c r="M1058" s="5">
        <v>-0.739640081281222</v>
      </c>
      <c r="N1058" s="5">
        <v>-3.20487351122003</v>
      </c>
      <c r="O1058" s="5">
        <v>-3.20487351122003</v>
      </c>
      <c r="P1058" s="5">
        <v>-3.20487351122003</v>
      </c>
      <c r="Q1058" s="5">
        <v>0.0</v>
      </c>
      <c r="R1058" s="5">
        <v>0.0</v>
      </c>
      <c r="S1058" s="5">
        <v>0.0</v>
      </c>
      <c r="T1058" s="5">
        <v>205.903679953651</v>
      </c>
    </row>
    <row r="1059">
      <c r="A1059" s="5">
        <v>1057.0</v>
      </c>
      <c r="B1059" s="6">
        <v>45117.0</v>
      </c>
      <c r="C1059" s="5">
        <v>209.899316466038</v>
      </c>
      <c r="D1059" s="5">
        <v>167.393722485849</v>
      </c>
      <c r="E1059" s="5">
        <v>250.114615056516</v>
      </c>
      <c r="F1059" s="5">
        <v>209.899316466038</v>
      </c>
      <c r="G1059" s="5">
        <v>209.899316466038</v>
      </c>
      <c r="H1059" s="5">
        <v>0.217187963590217</v>
      </c>
      <c r="I1059" s="5">
        <v>0.217187963590217</v>
      </c>
      <c r="J1059" s="5">
        <v>0.217187963590217</v>
      </c>
      <c r="K1059" s="5">
        <v>1.16457933345078</v>
      </c>
      <c r="L1059" s="5">
        <v>1.16457933345078</v>
      </c>
      <c r="M1059" s="5">
        <v>1.16457933345078</v>
      </c>
      <c r="N1059" s="5">
        <v>-0.947391369860568</v>
      </c>
      <c r="O1059" s="5">
        <v>-0.947391369860568</v>
      </c>
      <c r="P1059" s="5">
        <v>-0.947391369860568</v>
      </c>
      <c r="Q1059" s="5">
        <v>0.0</v>
      </c>
      <c r="R1059" s="5">
        <v>0.0</v>
      </c>
      <c r="S1059" s="5">
        <v>0.0</v>
      </c>
      <c r="T1059" s="5">
        <v>210.116504429628</v>
      </c>
    </row>
    <row r="1060">
      <c r="A1060" s="5">
        <v>1058.0</v>
      </c>
      <c r="B1060" s="6">
        <v>45118.0</v>
      </c>
      <c r="C1060" s="5">
        <v>209.916357439333</v>
      </c>
      <c r="D1060" s="5">
        <v>167.940663486595</v>
      </c>
      <c r="E1060" s="5">
        <v>247.834271998727</v>
      </c>
      <c r="F1060" s="5">
        <v>209.916357439333</v>
      </c>
      <c r="G1060" s="5">
        <v>209.916357439333</v>
      </c>
      <c r="H1060" s="5">
        <v>0.0066123455185149</v>
      </c>
      <c r="I1060" s="5">
        <v>0.0066123455185149</v>
      </c>
      <c r="J1060" s="5">
        <v>0.0066123455185149</v>
      </c>
      <c r="K1060" s="5">
        <v>0.24732477213966</v>
      </c>
      <c r="L1060" s="5">
        <v>0.24732477213966</v>
      </c>
      <c r="M1060" s="5">
        <v>0.24732477213966</v>
      </c>
      <c r="N1060" s="5">
        <v>-0.240712426621145</v>
      </c>
      <c r="O1060" s="5">
        <v>-0.240712426621145</v>
      </c>
      <c r="P1060" s="5">
        <v>-0.240712426621145</v>
      </c>
      <c r="Q1060" s="5">
        <v>0.0</v>
      </c>
      <c r="R1060" s="5">
        <v>0.0</v>
      </c>
      <c r="S1060" s="5">
        <v>0.0</v>
      </c>
      <c r="T1060" s="5">
        <v>209.922969784851</v>
      </c>
    </row>
    <row r="1061">
      <c r="A1061" s="5">
        <v>1059.0</v>
      </c>
      <c r="B1061" s="6">
        <v>45119.0</v>
      </c>
      <c r="C1061" s="5">
        <v>209.933398412628</v>
      </c>
      <c r="D1061" s="5">
        <v>170.446347642665</v>
      </c>
      <c r="E1061" s="5">
        <v>251.902875545073</v>
      </c>
      <c r="F1061" s="5">
        <v>209.933398412628</v>
      </c>
      <c r="G1061" s="5">
        <v>209.933398412628</v>
      </c>
      <c r="H1061" s="5">
        <v>1.03842577226374</v>
      </c>
      <c r="I1061" s="5">
        <v>1.03842577226374</v>
      </c>
      <c r="J1061" s="5">
        <v>1.03842577226374</v>
      </c>
      <c r="K1061" s="5">
        <v>0.608132553626922</v>
      </c>
      <c r="L1061" s="5">
        <v>0.608132553626922</v>
      </c>
      <c r="M1061" s="5">
        <v>0.608132553626922</v>
      </c>
      <c r="N1061" s="5">
        <v>0.430293218636818</v>
      </c>
      <c r="O1061" s="5">
        <v>0.430293218636818</v>
      </c>
      <c r="P1061" s="5">
        <v>0.430293218636818</v>
      </c>
      <c r="Q1061" s="5">
        <v>0.0</v>
      </c>
      <c r="R1061" s="5">
        <v>0.0</v>
      </c>
      <c r="S1061" s="5">
        <v>0.0</v>
      </c>
      <c r="T1061" s="5">
        <v>210.971824184892</v>
      </c>
    </row>
    <row r="1062">
      <c r="A1062" s="5">
        <v>1060.0</v>
      </c>
      <c r="B1062" s="6">
        <v>45120.0</v>
      </c>
      <c r="C1062" s="5">
        <v>209.950439385923</v>
      </c>
      <c r="D1062" s="5">
        <v>168.713807900207</v>
      </c>
      <c r="E1062" s="5">
        <v>250.917581821719</v>
      </c>
      <c r="F1062" s="5">
        <v>209.950439385923</v>
      </c>
      <c r="G1062" s="5">
        <v>209.950439385923</v>
      </c>
      <c r="H1062" s="5">
        <v>0.833884850677504</v>
      </c>
      <c r="I1062" s="5">
        <v>0.833884850677504</v>
      </c>
      <c r="J1062" s="5">
        <v>0.833884850677504</v>
      </c>
      <c r="K1062" s="5">
        <v>-0.225417905345468</v>
      </c>
      <c r="L1062" s="5">
        <v>-0.225417905345468</v>
      </c>
      <c r="M1062" s="5">
        <v>-0.225417905345468</v>
      </c>
      <c r="N1062" s="5">
        <v>1.05930275602297</v>
      </c>
      <c r="O1062" s="5">
        <v>1.05930275602297</v>
      </c>
      <c r="P1062" s="5">
        <v>1.05930275602297</v>
      </c>
      <c r="Q1062" s="5">
        <v>0.0</v>
      </c>
      <c r="R1062" s="5">
        <v>0.0</v>
      </c>
      <c r="S1062" s="5">
        <v>0.0</v>
      </c>
      <c r="T1062" s="5">
        <v>210.784324236601</v>
      </c>
    </row>
    <row r="1063">
      <c r="A1063" s="5">
        <v>1061.0</v>
      </c>
      <c r="B1063" s="6">
        <v>45121.0</v>
      </c>
      <c r="C1063" s="5">
        <v>209.967480359219</v>
      </c>
      <c r="D1063" s="5">
        <v>169.652622375248</v>
      </c>
      <c r="E1063" s="5">
        <v>251.995192442801</v>
      </c>
      <c r="F1063" s="5">
        <v>209.967480359219</v>
      </c>
      <c r="G1063" s="5">
        <v>209.967480359219</v>
      </c>
      <c r="H1063" s="5">
        <v>0.901478261558558</v>
      </c>
      <c r="I1063" s="5">
        <v>0.901478261558558</v>
      </c>
      <c r="J1063" s="5">
        <v>0.901478261558558</v>
      </c>
      <c r="K1063" s="5">
        <v>-0.739640081282377</v>
      </c>
      <c r="L1063" s="5">
        <v>-0.739640081282377</v>
      </c>
      <c r="M1063" s="5">
        <v>-0.739640081282377</v>
      </c>
      <c r="N1063" s="5">
        <v>1.64111834284093</v>
      </c>
      <c r="O1063" s="5">
        <v>1.64111834284093</v>
      </c>
      <c r="P1063" s="5">
        <v>1.64111834284093</v>
      </c>
      <c r="Q1063" s="5">
        <v>0.0</v>
      </c>
      <c r="R1063" s="5">
        <v>0.0</v>
      </c>
      <c r="S1063" s="5">
        <v>0.0</v>
      </c>
      <c r="T1063" s="5">
        <v>210.868958620777</v>
      </c>
    </row>
    <row r="1064">
      <c r="A1064" s="5">
        <v>1062.0</v>
      </c>
      <c r="B1064" s="6">
        <v>45124.0</v>
      </c>
      <c r="C1064" s="5">
        <v>210.018603279104</v>
      </c>
      <c r="D1064" s="5">
        <v>171.638602542614</v>
      </c>
      <c r="E1064" s="5">
        <v>252.822287341961</v>
      </c>
      <c r="F1064" s="5">
        <v>210.018603279104</v>
      </c>
      <c r="G1064" s="5">
        <v>210.018603279104</v>
      </c>
      <c r="H1064" s="5">
        <v>4.2350268994116</v>
      </c>
      <c r="I1064" s="5">
        <v>4.2350268994116</v>
      </c>
      <c r="J1064" s="5">
        <v>4.2350268994116</v>
      </c>
      <c r="K1064" s="5">
        <v>1.16457933345112</v>
      </c>
      <c r="L1064" s="5">
        <v>1.16457933345112</v>
      </c>
      <c r="M1064" s="5">
        <v>1.16457933345112</v>
      </c>
      <c r="N1064" s="5">
        <v>3.07044756596048</v>
      </c>
      <c r="O1064" s="5">
        <v>3.07044756596048</v>
      </c>
      <c r="P1064" s="5">
        <v>3.07044756596048</v>
      </c>
      <c r="Q1064" s="5">
        <v>0.0</v>
      </c>
      <c r="R1064" s="5">
        <v>0.0</v>
      </c>
      <c r="S1064" s="5">
        <v>0.0</v>
      </c>
      <c r="T1064" s="5">
        <v>214.253630178516</v>
      </c>
    </row>
    <row r="1065">
      <c r="A1065" s="5">
        <v>1063.0</v>
      </c>
      <c r="B1065" s="6">
        <v>45125.0</v>
      </c>
      <c r="C1065" s="5">
        <v>210.0356442524</v>
      </c>
      <c r="D1065" s="5">
        <v>175.105430968305</v>
      </c>
      <c r="E1065" s="5">
        <v>254.830426181717</v>
      </c>
      <c r="F1065" s="5">
        <v>210.0356442524</v>
      </c>
      <c r="G1065" s="5">
        <v>210.0356442524</v>
      </c>
      <c r="H1065" s="5">
        <v>3.68452055484982</v>
      </c>
      <c r="I1065" s="5">
        <v>3.68452055484982</v>
      </c>
      <c r="J1065" s="5">
        <v>3.68452055484982</v>
      </c>
      <c r="K1065" s="5">
        <v>0.247324772138326</v>
      </c>
      <c r="L1065" s="5">
        <v>0.247324772138326</v>
      </c>
      <c r="M1065" s="5">
        <v>0.247324772138326</v>
      </c>
      <c r="N1065" s="5">
        <v>3.43719578271149</v>
      </c>
      <c r="O1065" s="5">
        <v>3.43719578271149</v>
      </c>
      <c r="P1065" s="5">
        <v>3.43719578271149</v>
      </c>
      <c r="Q1065" s="5">
        <v>0.0</v>
      </c>
      <c r="R1065" s="5">
        <v>0.0</v>
      </c>
      <c r="S1065" s="5">
        <v>0.0</v>
      </c>
      <c r="T1065" s="5">
        <v>213.72016480725</v>
      </c>
    </row>
    <row r="1066">
      <c r="A1066" s="5">
        <v>1064.0</v>
      </c>
      <c r="B1066" s="6">
        <v>45126.0</v>
      </c>
      <c r="C1066" s="5">
        <v>210.052685225695</v>
      </c>
      <c r="D1066" s="5">
        <v>173.932036478183</v>
      </c>
      <c r="E1066" s="5">
        <v>254.893131394215</v>
      </c>
      <c r="F1066" s="5">
        <v>210.052685225695</v>
      </c>
      <c r="G1066" s="5">
        <v>210.052685225695</v>
      </c>
      <c r="H1066" s="5">
        <v>4.35836026314452</v>
      </c>
      <c r="I1066" s="5">
        <v>4.35836026314452</v>
      </c>
      <c r="J1066" s="5">
        <v>4.35836026314452</v>
      </c>
      <c r="K1066" s="5">
        <v>0.608132553627586</v>
      </c>
      <c r="L1066" s="5">
        <v>0.608132553627586</v>
      </c>
      <c r="M1066" s="5">
        <v>0.608132553627586</v>
      </c>
      <c r="N1066" s="5">
        <v>3.75022770951693</v>
      </c>
      <c r="O1066" s="5">
        <v>3.75022770951693</v>
      </c>
      <c r="P1066" s="5">
        <v>3.75022770951693</v>
      </c>
      <c r="Q1066" s="5">
        <v>0.0</v>
      </c>
      <c r="R1066" s="5">
        <v>0.0</v>
      </c>
      <c r="S1066" s="5">
        <v>0.0</v>
      </c>
      <c r="T1066" s="5">
        <v>214.41104548884</v>
      </c>
    </row>
    <row r="1067">
      <c r="A1067" s="5">
        <v>1065.0</v>
      </c>
      <c r="B1067" s="6">
        <v>45127.0</v>
      </c>
      <c r="C1067" s="5">
        <v>210.06972619899</v>
      </c>
      <c r="D1067" s="5">
        <v>175.240578961711</v>
      </c>
      <c r="E1067" s="5">
        <v>256.637027624403</v>
      </c>
      <c r="F1067" s="5">
        <v>210.06972619899</v>
      </c>
      <c r="G1067" s="5">
        <v>210.06972619899</v>
      </c>
      <c r="H1067" s="5">
        <v>3.78664222347735</v>
      </c>
      <c r="I1067" s="5">
        <v>3.78664222347735</v>
      </c>
      <c r="J1067" s="5">
        <v>3.78664222347735</v>
      </c>
      <c r="K1067" s="5">
        <v>-0.225417905345047</v>
      </c>
      <c r="L1067" s="5">
        <v>-0.225417905345047</v>
      </c>
      <c r="M1067" s="5">
        <v>-0.225417905345047</v>
      </c>
      <c r="N1067" s="5">
        <v>4.0120601288224</v>
      </c>
      <c r="O1067" s="5">
        <v>4.0120601288224</v>
      </c>
      <c r="P1067" s="5">
        <v>4.0120601288224</v>
      </c>
      <c r="Q1067" s="5">
        <v>0.0</v>
      </c>
      <c r="R1067" s="5">
        <v>0.0</v>
      </c>
      <c r="S1067" s="5">
        <v>0.0</v>
      </c>
      <c r="T1067" s="5">
        <v>213.856368422468</v>
      </c>
    </row>
    <row r="1068">
      <c r="A1068" s="5">
        <v>1066.0</v>
      </c>
      <c r="B1068" s="6">
        <v>45128.0</v>
      </c>
      <c r="C1068" s="5">
        <v>210.086767172286</v>
      </c>
      <c r="D1068" s="5">
        <v>172.923221731254</v>
      </c>
      <c r="E1068" s="5">
        <v>254.842432770494</v>
      </c>
      <c r="F1068" s="5">
        <v>210.086767172286</v>
      </c>
      <c r="G1068" s="5">
        <v>210.086767172286</v>
      </c>
      <c r="H1068" s="5">
        <v>3.48663519446649</v>
      </c>
      <c r="I1068" s="5">
        <v>3.48663519446649</v>
      </c>
      <c r="J1068" s="5">
        <v>3.48663519446649</v>
      </c>
      <c r="K1068" s="5">
        <v>-0.739640081280101</v>
      </c>
      <c r="L1068" s="5">
        <v>-0.739640081280101</v>
      </c>
      <c r="M1068" s="5">
        <v>-0.739640081280101</v>
      </c>
      <c r="N1068" s="5">
        <v>4.2262752757466</v>
      </c>
      <c r="O1068" s="5">
        <v>4.2262752757466</v>
      </c>
      <c r="P1068" s="5">
        <v>4.2262752757466</v>
      </c>
      <c r="Q1068" s="5">
        <v>0.0</v>
      </c>
      <c r="R1068" s="5">
        <v>0.0</v>
      </c>
      <c r="S1068" s="5">
        <v>0.0</v>
      </c>
      <c r="T1068" s="5">
        <v>213.573402366752</v>
      </c>
    </row>
    <row r="1069">
      <c r="A1069" s="5">
        <v>1067.0</v>
      </c>
      <c r="B1069" s="6">
        <v>45131.0</v>
      </c>
      <c r="C1069" s="5">
        <v>210.137890092171</v>
      </c>
      <c r="D1069" s="5">
        <v>174.916735011179</v>
      </c>
      <c r="E1069" s="5">
        <v>256.28323035823</v>
      </c>
      <c r="F1069" s="5">
        <v>210.137890092171</v>
      </c>
      <c r="G1069" s="5">
        <v>210.137890092171</v>
      </c>
      <c r="H1069" s="5">
        <v>5.79618376990586</v>
      </c>
      <c r="I1069" s="5">
        <v>5.79618376990586</v>
      </c>
      <c r="J1069" s="5">
        <v>5.79618376990586</v>
      </c>
      <c r="K1069" s="5">
        <v>1.16457933344973</v>
      </c>
      <c r="L1069" s="5">
        <v>1.16457933344973</v>
      </c>
      <c r="M1069" s="5">
        <v>1.16457933344973</v>
      </c>
      <c r="N1069" s="5">
        <v>4.63160443645612</v>
      </c>
      <c r="O1069" s="5">
        <v>4.63160443645612</v>
      </c>
      <c r="P1069" s="5">
        <v>4.63160443645612</v>
      </c>
      <c r="Q1069" s="5">
        <v>0.0</v>
      </c>
      <c r="R1069" s="5">
        <v>0.0</v>
      </c>
      <c r="S1069" s="5">
        <v>0.0</v>
      </c>
      <c r="T1069" s="5">
        <v>215.934073862077</v>
      </c>
    </row>
    <row r="1070">
      <c r="A1070" s="5">
        <v>1068.0</v>
      </c>
      <c r="B1070" s="6">
        <v>45132.0</v>
      </c>
      <c r="C1070" s="5">
        <v>210.154931065467</v>
      </c>
      <c r="D1070" s="5">
        <v>171.900320383882</v>
      </c>
      <c r="E1070" s="5">
        <v>254.291354079285</v>
      </c>
      <c r="F1070" s="5">
        <v>210.154931065467</v>
      </c>
      <c r="G1070" s="5">
        <v>210.154931065467</v>
      </c>
      <c r="H1070" s="5">
        <v>4.95393026138602</v>
      </c>
      <c r="I1070" s="5">
        <v>4.95393026138602</v>
      </c>
      <c r="J1070" s="5">
        <v>4.95393026138602</v>
      </c>
      <c r="K1070" s="5">
        <v>0.247324772138414</v>
      </c>
      <c r="L1070" s="5">
        <v>0.247324772138414</v>
      </c>
      <c r="M1070" s="5">
        <v>0.247324772138414</v>
      </c>
      <c r="N1070" s="5">
        <v>4.7066054892476</v>
      </c>
      <c r="O1070" s="5">
        <v>4.7066054892476</v>
      </c>
      <c r="P1070" s="5">
        <v>4.7066054892476</v>
      </c>
      <c r="Q1070" s="5">
        <v>0.0</v>
      </c>
      <c r="R1070" s="5">
        <v>0.0</v>
      </c>
      <c r="S1070" s="5">
        <v>0.0</v>
      </c>
      <c r="T1070" s="5">
        <v>215.108861326853</v>
      </c>
    </row>
    <row r="1071">
      <c r="A1071" s="5">
        <v>1069.0</v>
      </c>
      <c r="B1071" s="6">
        <v>45133.0</v>
      </c>
      <c r="C1071" s="5">
        <v>210.171972038762</v>
      </c>
      <c r="D1071" s="5">
        <v>176.199264316064</v>
      </c>
      <c r="E1071" s="5">
        <v>259.187269010832</v>
      </c>
      <c r="F1071" s="5">
        <v>210.171972038762</v>
      </c>
      <c r="G1071" s="5">
        <v>210.171972038762</v>
      </c>
      <c r="H1071" s="5">
        <v>5.36990732248792</v>
      </c>
      <c r="I1071" s="5">
        <v>5.36990732248792</v>
      </c>
      <c r="J1071" s="5">
        <v>5.36990732248792</v>
      </c>
      <c r="K1071" s="5">
        <v>0.608132553629365</v>
      </c>
      <c r="L1071" s="5">
        <v>0.608132553629365</v>
      </c>
      <c r="M1071" s="5">
        <v>0.608132553629365</v>
      </c>
      <c r="N1071" s="5">
        <v>4.76177476885856</v>
      </c>
      <c r="O1071" s="5">
        <v>4.76177476885856</v>
      </c>
      <c r="P1071" s="5">
        <v>4.76177476885856</v>
      </c>
      <c r="Q1071" s="5">
        <v>0.0</v>
      </c>
      <c r="R1071" s="5">
        <v>0.0</v>
      </c>
      <c r="S1071" s="5">
        <v>0.0</v>
      </c>
      <c r="T1071" s="5">
        <v>215.54187936125</v>
      </c>
    </row>
    <row r="1072">
      <c r="A1072" s="5">
        <v>1070.0</v>
      </c>
      <c r="B1072" s="6">
        <v>45134.0</v>
      </c>
      <c r="C1072" s="5">
        <v>210.189013012057</v>
      </c>
      <c r="D1072" s="5">
        <v>177.02870528241</v>
      </c>
      <c r="E1072" s="5">
        <v>253.893746470622</v>
      </c>
      <c r="F1072" s="5">
        <v>210.189013012057</v>
      </c>
      <c r="G1072" s="5">
        <v>210.189013012057</v>
      </c>
      <c r="H1072" s="5">
        <v>4.57783294541187</v>
      </c>
      <c r="I1072" s="5">
        <v>4.57783294541187</v>
      </c>
      <c r="J1072" s="5">
        <v>4.57783294541187</v>
      </c>
      <c r="K1072" s="5">
        <v>-0.225417905348012</v>
      </c>
      <c r="L1072" s="5">
        <v>-0.225417905348012</v>
      </c>
      <c r="M1072" s="5">
        <v>-0.225417905348012</v>
      </c>
      <c r="N1072" s="5">
        <v>4.80325085075988</v>
      </c>
      <c r="O1072" s="5">
        <v>4.80325085075988</v>
      </c>
      <c r="P1072" s="5">
        <v>4.80325085075988</v>
      </c>
      <c r="Q1072" s="5">
        <v>0.0</v>
      </c>
      <c r="R1072" s="5">
        <v>0.0</v>
      </c>
      <c r="S1072" s="5">
        <v>0.0</v>
      </c>
      <c r="T1072" s="5">
        <v>214.766845957469</v>
      </c>
    </row>
    <row r="1073">
      <c r="A1073" s="5">
        <v>1071.0</v>
      </c>
      <c r="B1073" s="6">
        <v>45135.0</v>
      </c>
      <c r="C1073" s="5">
        <v>210.206053985352</v>
      </c>
      <c r="D1073" s="5">
        <v>174.0461183423</v>
      </c>
      <c r="E1073" s="5">
        <v>254.200825061729</v>
      </c>
      <c r="F1073" s="5">
        <v>210.206053985352</v>
      </c>
      <c r="G1073" s="5">
        <v>210.206053985352</v>
      </c>
      <c r="H1073" s="5">
        <v>4.0972638097797</v>
      </c>
      <c r="I1073" s="5">
        <v>4.0972638097797</v>
      </c>
      <c r="J1073" s="5">
        <v>4.0972638097797</v>
      </c>
      <c r="K1073" s="5">
        <v>-0.739640081281256</v>
      </c>
      <c r="L1073" s="5">
        <v>-0.739640081281256</v>
      </c>
      <c r="M1073" s="5">
        <v>-0.739640081281256</v>
      </c>
      <c r="N1073" s="5">
        <v>4.83690389106095</v>
      </c>
      <c r="O1073" s="5">
        <v>4.83690389106095</v>
      </c>
      <c r="P1073" s="5">
        <v>4.83690389106095</v>
      </c>
      <c r="Q1073" s="5">
        <v>0.0</v>
      </c>
      <c r="R1073" s="5">
        <v>0.0</v>
      </c>
      <c r="S1073" s="5">
        <v>0.0</v>
      </c>
      <c r="T1073" s="5">
        <v>214.303317795132</v>
      </c>
    </row>
    <row r="1074">
      <c r="A1074" s="5">
        <v>1072.0</v>
      </c>
      <c r="B1074" s="6">
        <v>45138.0</v>
      </c>
      <c r="C1074" s="5">
        <v>210.257176905238</v>
      </c>
      <c r="D1074" s="5">
        <v>177.160298061319</v>
      </c>
      <c r="E1074" s="5">
        <v>255.747472471096</v>
      </c>
      <c r="F1074" s="5">
        <v>210.257176905238</v>
      </c>
      <c r="G1074" s="5">
        <v>210.257176905238</v>
      </c>
      <c r="H1074" s="5">
        <v>6.1067292303441</v>
      </c>
      <c r="I1074" s="5">
        <v>6.1067292303441</v>
      </c>
      <c r="J1074" s="5">
        <v>6.1067292303441</v>
      </c>
      <c r="K1074" s="5">
        <v>1.16457933345007</v>
      </c>
      <c r="L1074" s="5">
        <v>1.16457933345007</v>
      </c>
      <c r="M1074" s="5">
        <v>1.16457933345007</v>
      </c>
      <c r="N1074" s="5">
        <v>4.94214989689402</v>
      </c>
      <c r="O1074" s="5">
        <v>4.94214989689402</v>
      </c>
      <c r="P1074" s="5">
        <v>4.94214989689402</v>
      </c>
      <c r="Q1074" s="5">
        <v>0.0</v>
      </c>
      <c r="R1074" s="5">
        <v>0.0</v>
      </c>
      <c r="S1074" s="5">
        <v>0.0</v>
      </c>
      <c r="T1074" s="5">
        <v>216.363906135582</v>
      </c>
    </row>
    <row r="1075">
      <c r="A1075" s="5">
        <v>1073.0</v>
      </c>
      <c r="B1075" s="6">
        <v>45139.0</v>
      </c>
      <c r="C1075" s="5">
        <v>210.274217878533</v>
      </c>
      <c r="D1075" s="5">
        <v>173.235175290316</v>
      </c>
      <c r="E1075" s="5">
        <v>254.629343208896</v>
      </c>
      <c r="F1075" s="5">
        <v>210.274217878533</v>
      </c>
      <c r="G1075" s="5">
        <v>210.274217878533</v>
      </c>
      <c r="H1075" s="5">
        <v>5.23966384243924</v>
      </c>
      <c r="I1075" s="5">
        <v>5.23966384243924</v>
      </c>
      <c r="J1075" s="5">
        <v>5.23966384243924</v>
      </c>
      <c r="K1075" s="5">
        <v>0.247324772137079</v>
      </c>
      <c r="L1075" s="5">
        <v>0.247324772137079</v>
      </c>
      <c r="M1075" s="5">
        <v>0.247324772137079</v>
      </c>
      <c r="N1075" s="5">
        <v>4.99233907030216</v>
      </c>
      <c r="O1075" s="5">
        <v>4.99233907030216</v>
      </c>
      <c r="P1075" s="5">
        <v>4.99233907030216</v>
      </c>
      <c r="Q1075" s="5">
        <v>0.0</v>
      </c>
      <c r="R1075" s="5">
        <v>0.0</v>
      </c>
      <c r="S1075" s="5">
        <v>0.0</v>
      </c>
      <c r="T1075" s="5">
        <v>215.513881720973</v>
      </c>
    </row>
    <row r="1076">
      <c r="A1076" s="5">
        <v>1074.0</v>
      </c>
      <c r="B1076" s="6">
        <v>45140.0</v>
      </c>
      <c r="C1076" s="5">
        <v>210.291258851829</v>
      </c>
      <c r="D1076" s="5">
        <v>178.016222262444</v>
      </c>
      <c r="E1076" s="5">
        <v>256.899158197743</v>
      </c>
      <c r="F1076" s="5">
        <v>210.291258851829</v>
      </c>
      <c r="G1076" s="5">
        <v>210.291258851829</v>
      </c>
      <c r="H1076" s="5">
        <v>5.66304854971552</v>
      </c>
      <c r="I1076" s="5">
        <v>5.66304854971552</v>
      </c>
      <c r="J1076" s="5">
        <v>5.66304854971552</v>
      </c>
      <c r="K1076" s="5">
        <v>0.608132553625807</v>
      </c>
      <c r="L1076" s="5">
        <v>0.608132553625807</v>
      </c>
      <c r="M1076" s="5">
        <v>0.608132553625807</v>
      </c>
      <c r="N1076" s="5">
        <v>5.05491599608971</v>
      </c>
      <c r="O1076" s="5">
        <v>5.05491599608971</v>
      </c>
      <c r="P1076" s="5">
        <v>5.05491599608971</v>
      </c>
      <c r="Q1076" s="5">
        <v>0.0</v>
      </c>
      <c r="R1076" s="5">
        <v>0.0</v>
      </c>
      <c r="S1076" s="5">
        <v>0.0</v>
      </c>
      <c r="T1076" s="5">
        <v>215.954307401544</v>
      </c>
    </row>
    <row r="1077">
      <c r="A1077" s="5">
        <v>1075.0</v>
      </c>
      <c r="B1077" s="6">
        <v>45141.0</v>
      </c>
      <c r="C1077" s="5">
        <v>210.308299825124</v>
      </c>
      <c r="D1077" s="5">
        <v>173.352823650956</v>
      </c>
      <c r="E1077" s="5">
        <v>255.576064945629</v>
      </c>
      <c r="F1077" s="5">
        <v>210.308299825124</v>
      </c>
      <c r="G1077" s="5">
        <v>210.308299825124</v>
      </c>
      <c r="H1077" s="5">
        <v>4.90607251352246</v>
      </c>
      <c r="I1077" s="5">
        <v>4.90607251352246</v>
      </c>
      <c r="J1077" s="5">
        <v>4.90607251352246</v>
      </c>
      <c r="K1077" s="5">
        <v>-0.225417905344205</v>
      </c>
      <c r="L1077" s="5">
        <v>-0.225417905344205</v>
      </c>
      <c r="M1077" s="5">
        <v>-0.225417905344205</v>
      </c>
      <c r="N1077" s="5">
        <v>5.13149041886667</v>
      </c>
      <c r="O1077" s="5">
        <v>5.13149041886667</v>
      </c>
      <c r="P1077" s="5">
        <v>5.13149041886667</v>
      </c>
      <c r="Q1077" s="5">
        <v>0.0</v>
      </c>
      <c r="R1077" s="5">
        <v>0.0</v>
      </c>
      <c r="S1077" s="5">
        <v>0.0</v>
      </c>
      <c r="T1077" s="5">
        <v>215.214372338646</v>
      </c>
    </row>
    <row r="1078">
      <c r="A1078" s="5">
        <v>1076.0</v>
      </c>
      <c r="B1078" s="6">
        <v>45142.0</v>
      </c>
      <c r="C1078" s="5">
        <v>210.325340798419</v>
      </c>
      <c r="D1078" s="5">
        <v>173.975439274847</v>
      </c>
      <c r="E1078" s="5">
        <v>253.978798582101</v>
      </c>
      <c r="F1078" s="5">
        <v>210.325340798419</v>
      </c>
      <c r="G1078" s="5">
        <v>210.325340798419</v>
      </c>
      <c r="H1078" s="5">
        <v>4.48317902375433</v>
      </c>
      <c r="I1078" s="5">
        <v>4.48317902375433</v>
      </c>
      <c r="J1078" s="5">
        <v>4.48317902375433</v>
      </c>
      <c r="K1078" s="5">
        <v>-0.739640081280351</v>
      </c>
      <c r="L1078" s="5">
        <v>-0.739640081280351</v>
      </c>
      <c r="M1078" s="5">
        <v>-0.739640081280351</v>
      </c>
      <c r="N1078" s="5">
        <v>5.22281910503468</v>
      </c>
      <c r="O1078" s="5">
        <v>5.22281910503468</v>
      </c>
      <c r="P1078" s="5">
        <v>5.22281910503468</v>
      </c>
      <c r="Q1078" s="5">
        <v>0.0</v>
      </c>
      <c r="R1078" s="5">
        <v>0.0</v>
      </c>
      <c r="S1078" s="5">
        <v>0.0</v>
      </c>
      <c r="T1078" s="5">
        <v>214.808519822174</v>
      </c>
    </row>
    <row r="1079">
      <c r="A1079" s="5">
        <v>1077.0</v>
      </c>
      <c r="B1079" s="6">
        <v>45145.0</v>
      </c>
      <c r="C1079" s="5">
        <v>210.376463718305</v>
      </c>
      <c r="D1079" s="5">
        <v>176.704851713727</v>
      </c>
      <c r="E1079" s="5">
        <v>255.715929263627</v>
      </c>
      <c r="F1079" s="5">
        <v>210.376463718305</v>
      </c>
      <c r="G1079" s="5">
        <v>210.376463718305</v>
      </c>
      <c r="H1079" s="5">
        <v>6.74597432781661</v>
      </c>
      <c r="I1079" s="5">
        <v>6.74597432781661</v>
      </c>
      <c r="J1079" s="5">
        <v>6.74597432781661</v>
      </c>
      <c r="K1079" s="5">
        <v>1.1645793334503</v>
      </c>
      <c r="L1079" s="5">
        <v>1.1645793334503</v>
      </c>
      <c r="M1079" s="5">
        <v>1.1645793334503</v>
      </c>
      <c r="N1079" s="5">
        <v>5.5813949943663</v>
      </c>
      <c r="O1079" s="5">
        <v>5.5813949943663</v>
      </c>
      <c r="P1079" s="5">
        <v>5.5813949943663</v>
      </c>
      <c r="Q1079" s="5">
        <v>0.0</v>
      </c>
      <c r="R1079" s="5">
        <v>0.0</v>
      </c>
      <c r="S1079" s="5">
        <v>0.0</v>
      </c>
      <c r="T1079" s="5">
        <v>217.122438046122</v>
      </c>
    </row>
    <row r="1080">
      <c r="A1080" s="5">
        <v>1078.0</v>
      </c>
      <c r="B1080" s="6">
        <v>45146.0</v>
      </c>
      <c r="C1080" s="5">
        <v>210.3935046916</v>
      </c>
      <c r="D1080" s="5">
        <v>175.726423304508</v>
      </c>
      <c r="E1080" s="5">
        <v>253.733435405578</v>
      </c>
      <c r="F1080" s="5">
        <v>210.3935046916</v>
      </c>
      <c r="G1080" s="5">
        <v>210.3935046916</v>
      </c>
      <c r="H1080" s="5">
        <v>5.97199731923004</v>
      </c>
      <c r="I1080" s="5">
        <v>5.97199731923004</v>
      </c>
      <c r="J1080" s="5">
        <v>5.97199731923004</v>
      </c>
      <c r="K1080" s="5">
        <v>0.247324772137168</v>
      </c>
      <c r="L1080" s="5">
        <v>0.247324772137168</v>
      </c>
      <c r="M1080" s="5">
        <v>0.247324772137168</v>
      </c>
      <c r="N1080" s="5">
        <v>5.72467254709287</v>
      </c>
      <c r="O1080" s="5">
        <v>5.72467254709287</v>
      </c>
      <c r="P1080" s="5">
        <v>5.72467254709287</v>
      </c>
      <c r="Q1080" s="5">
        <v>0.0</v>
      </c>
      <c r="R1080" s="5">
        <v>0.0</v>
      </c>
      <c r="S1080" s="5">
        <v>0.0</v>
      </c>
      <c r="T1080" s="5">
        <v>216.36550201083</v>
      </c>
    </row>
    <row r="1081">
      <c r="A1081" s="5">
        <v>1079.0</v>
      </c>
      <c r="B1081" s="6">
        <v>45147.0</v>
      </c>
      <c r="C1081" s="5">
        <v>210.410545664896</v>
      </c>
      <c r="D1081" s="5">
        <v>174.508433689498</v>
      </c>
      <c r="E1081" s="5">
        <v>256.114595155679</v>
      </c>
      <c r="F1081" s="5">
        <v>210.410545664896</v>
      </c>
      <c r="G1081" s="5">
        <v>210.410545664896</v>
      </c>
      <c r="H1081" s="5">
        <v>6.48463025488828</v>
      </c>
      <c r="I1081" s="5">
        <v>6.48463025488828</v>
      </c>
      <c r="J1081" s="5">
        <v>6.48463025488828</v>
      </c>
      <c r="K1081" s="5">
        <v>0.608132553629141</v>
      </c>
      <c r="L1081" s="5">
        <v>0.608132553629141</v>
      </c>
      <c r="M1081" s="5">
        <v>0.608132553629141</v>
      </c>
      <c r="N1081" s="5">
        <v>5.87649770125914</v>
      </c>
      <c r="O1081" s="5">
        <v>5.87649770125914</v>
      </c>
      <c r="P1081" s="5">
        <v>5.87649770125914</v>
      </c>
      <c r="Q1081" s="5">
        <v>0.0</v>
      </c>
      <c r="R1081" s="5">
        <v>0.0</v>
      </c>
      <c r="S1081" s="5">
        <v>0.0</v>
      </c>
      <c r="T1081" s="5">
        <v>216.895175919784</v>
      </c>
    </row>
    <row r="1082">
      <c r="A1082" s="5">
        <v>1080.0</v>
      </c>
      <c r="B1082" s="6">
        <v>45148.0</v>
      </c>
      <c r="C1082" s="5">
        <v>210.427586638191</v>
      </c>
      <c r="D1082" s="5">
        <v>176.780572332263</v>
      </c>
      <c r="E1082" s="5">
        <v>257.761079621336</v>
      </c>
      <c r="F1082" s="5">
        <v>210.427586638191</v>
      </c>
      <c r="G1082" s="5">
        <v>210.427586638191</v>
      </c>
      <c r="H1082" s="5">
        <v>5.80911293220634</v>
      </c>
      <c r="I1082" s="5">
        <v>5.80911293220634</v>
      </c>
      <c r="J1082" s="5">
        <v>5.80911293220634</v>
      </c>
      <c r="K1082" s="5">
        <v>-0.22541790534717</v>
      </c>
      <c r="L1082" s="5">
        <v>-0.22541790534717</v>
      </c>
      <c r="M1082" s="5">
        <v>-0.22541790534717</v>
      </c>
      <c r="N1082" s="5">
        <v>6.03453083755351</v>
      </c>
      <c r="O1082" s="5">
        <v>6.03453083755351</v>
      </c>
      <c r="P1082" s="5">
        <v>6.03453083755351</v>
      </c>
      <c r="Q1082" s="5">
        <v>0.0</v>
      </c>
      <c r="R1082" s="5">
        <v>0.0</v>
      </c>
      <c r="S1082" s="5">
        <v>0.0</v>
      </c>
      <c r="T1082" s="5">
        <v>216.236699570397</v>
      </c>
    </row>
    <row r="1083">
      <c r="A1083" s="5">
        <v>1081.0</v>
      </c>
      <c r="B1083" s="6">
        <v>45149.0</v>
      </c>
      <c r="C1083" s="5">
        <v>210.444627611486</v>
      </c>
      <c r="D1083" s="5">
        <v>176.875022098438</v>
      </c>
      <c r="E1083" s="5">
        <v>254.495320238309</v>
      </c>
      <c r="F1083" s="5">
        <v>210.444627611486</v>
      </c>
      <c r="G1083" s="5">
        <v>210.444627611486</v>
      </c>
      <c r="H1083" s="5">
        <v>5.45679331175759</v>
      </c>
      <c r="I1083" s="5">
        <v>5.45679331175759</v>
      </c>
      <c r="J1083" s="5">
        <v>5.45679331175759</v>
      </c>
      <c r="K1083" s="5">
        <v>-0.739640081281506</v>
      </c>
      <c r="L1083" s="5">
        <v>-0.739640081281506</v>
      </c>
      <c r="M1083" s="5">
        <v>-0.739640081281506</v>
      </c>
      <c r="N1083" s="5">
        <v>6.1964333930391</v>
      </c>
      <c r="O1083" s="5">
        <v>6.1964333930391</v>
      </c>
      <c r="P1083" s="5">
        <v>6.1964333930391</v>
      </c>
      <c r="Q1083" s="5">
        <v>0.0</v>
      </c>
      <c r="R1083" s="5">
        <v>0.0</v>
      </c>
      <c r="S1083" s="5">
        <v>0.0</v>
      </c>
      <c r="T1083" s="5">
        <v>215.901420923244</v>
      </c>
    </row>
    <row r="1084">
      <c r="A1084" s="5">
        <v>1082.0</v>
      </c>
      <c r="B1084" s="6">
        <v>45152.0</v>
      </c>
      <c r="C1084" s="5">
        <v>210.495750531372</v>
      </c>
      <c r="D1084" s="5">
        <v>178.87105393414</v>
      </c>
      <c r="E1084" s="5">
        <v>257.634846605948</v>
      </c>
      <c r="F1084" s="5">
        <v>210.495750531372</v>
      </c>
      <c r="G1084" s="5">
        <v>210.495750531372</v>
      </c>
      <c r="H1084" s="5">
        <v>7.84992486607</v>
      </c>
      <c r="I1084" s="5">
        <v>7.84992486607</v>
      </c>
      <c r="J1084" s="5">
        <v>7.84992486607</v>
      </c>
      <c r="K1084" s="5">
        <v>1.16457933345074</v>
      </c>
      <c r="L1084" s="5">
        <v>1.16457933345074</v>
      </c>
      <c r="M1084" s="5">
        <v>1.16457933345074</v>
      </c>
      <c r="N1084" s="5">
        <v>6.68534553261926</v>
      </c>
      <c r="O1084" s="5">
        <v>6.68534553261926</v>
      </c>
      <c r="P1084" s="5">
        <v>6.68534553261926</v>
      </c>
      <c r="Q1084" s="5">
        <v>0.0</v>
      </c>
      <c r="R1084" s="5">
        <v>0.0</v>
      </c>
      <c r="S1084" s="5">
        <v>0.0</v>
      </c>
      <c r="T1084" s="5">
        <v>218.345675397442</v>
      </c>
    </row>
    <row r="1085">
      <c r="A1085" s="5">
        <v>1083.0</v>
      </c>
      <c r="B1085" s="6">
        <v>45153.0</v>
      </c>
      <c r="C1085" s="5">
        <v>210.512791504667</v>
      </c>
      <c r="D1085" s="5">
        <v>177.369083665399</v>
      </c>
      <c r="E1085" s="5">
        <v>257.728680710766</v>
      </c>
      <c r="F1085" s="5">
        <v>210.512791504667</v>
      </c>
      <c r="G1085" s="5">
        <v>210.512791504667</v>
      </c>
      <c r="H1085" s="5">
        <v>7.09216345707236</v>
      </c>
      <c r="I1085" s="5">
        <v>7.09216345707236</v>
      </c>
      <c r="J1085" s="5">
        <v>7.09216345707236</v>
      </c>
      <c r="K1085" s="5">
        <v>0.247324772138553</v>
      </c>
      <c r="L1085" s="5">
        <v>0.247324772138553</v>
      </c>
      <c r="M1085" s="5">
        <v>0.247324772138553</v>
      </c>
      <c r="N1085" s="5">
        <v>6.84483868493381</v>
      </c>
      <c r="O1085" s="5">
        <v>6.84483868493381</v>
      </c>
      <c r="P1085" s="5">
        <v>6.84483868493381</v>
      </c>
      <c r="Q1085" s="5">
        <v>0.0</v>
      </c>
      <c r="R1085" s="5">
        <v>0.0</v>
      </c>
      <c r="S1085" s="5">
        <v>0.0</v>
      </c>
      <c r="T1085" s="5">
        <v>217.60495496174</v>
      </c>
    </row>
    <row r="1086">
      <c r="A1086" s="5">
        <v>1084.0</v>
      </c>
      <c r="B1086" s="6">
        <v>45154.0</v>
      </c>
      <c r="C1086" s="5">
        <v>210.529832477962</v>
      </c>
      <c r="D1086" s="5">
        <v>176.515722874677</v>
      </c>
      <c r="E1086" s="5">
        <v>263.26630726483</v>
      </c>
      <c r="F1086" s="5">
        <v>210.529832477962</v>
      </c>
      <c r="G1086" s="5">
        <v>210.529832477962</v>
      </c>
      <c r="H1086" s="5">
        <v>7.60992013885082</v>
      </c>
      <c r="I1086" s="5">
        <v>7.60992013885082</v>
      </c>
      <c r="J1086" s="5">
        <v>7.60992013885082</v>
      </c>
      <c r="K1086" s="5">
        <v>0.608132553625582</v>
      </c>
      <c r="L1086" s="5">
        <v>0.608132553625582</v>
      </c>
      <c r="M1086" s="5">
        <v>0.608132553625582</v>
      </c>
      <c r="N1086" s="5">
        <v>7.00178758522524</v>
      </c>
      <c r="O1086" s="5">
        <v>7.00178758522524</v>
      </c>
      <c r="P1086" s="5">
        <v>7.00178758522524</v>
      </c>
      <c r="Q1086" s="5">
        <v>0.0</v>
      </c>
      <c r="R1086" s="5">
        <v>0.0</v>
      </c>
      <c r="S1086" s="5">
        <v>0.0</v>
      </c>
      <c r="T1086" s="5">
        <v>218.139752616813</v>
      </c>
    </row>
    <row r="1087">
      <c r="A1087" s="5">
        <v>1085.0</v>
      </c>
      <c r="B1087" s="6">
        <v>45155.0</v>
      </c>
      <c r="C1087" s="5">
        <v>210.546873451258</v>
      </c>
      <c r="D1087" s="5">
        <v>179.744591062237</v>
      </c>
      <c r="E1087" s="5">
        <v>256.97300470599</v>
      </c>
      <c r="F1087" s="5">
        <v>210.546873451258</v>
      </c>
      <c r="G1087" s="5">
        <v>210.546873451258</v>
      </c>
      <c r="H1087" s="5">
        <v>6.93133891989082</v>
      </c>
      <c r="I1087" s="5">
        <v>6.93133891989082</v>
      </c>
      <c r="J1087" s="5">
        <v>6.93133891989082</v>
      </c>
      <c r="K1087" s="5">
        <v>-0.225417905350134</v>
      </c>
      <c r="L1087" s="5">
        <v>-0.225417905350134</v>
      </c>
      <c r="M1087" s="5">
        <v>-0.225417905350134</v>
      </c>
      <c r="N1087" s="5">
        <v>7.15675682524096</v>
      </c>
      <c r="O1087" s="5">
        <v>7.15675682524096</v>
      </c>
      <c r="P1087" s="5">
        <v>7.15675682524096</v>
      </c>
      <c r="Q1087" s="5">
        <v>0.0</v>
      </c>
      <c r="R1087" s="5">
        <v>0.0</v>
      </c>
      <c r="S1087" s="5">
        <v>0.0</v>
      </c>
      <c r="T1087" s="5">
        <v>217.478212371149</v>
      </c>
    </row>
    <row r="1088">
      <c r="A1088" s="5">
        <v>1086.0</v>
      </c>
      <c r="B1088" s="6">
        <v>45156.0</v>
      </c>
      <c r="C1088" s="5">
        <v>210.563914424553</v>
      </c>
      <c r="D1088" s="5">
        <v>177.175009106352</v>
      </c>
      <c r="E1088" s="5">
        <v>256.37771096362</v>
      </c>
      <c r="F1088" s="5">
        <v>210.563914424553</v>
      </c>
      <c r="G1088" s="5">
        <v>210.563914424553</v>
      </c>
      <c r="H1088" s="5">
        <v>6.57142141423555</v>
      </c>
      <c r="I1088" s="5">
        <v>6.57142141423555</v>
      </c>
      <c r="J1088" s="5">
        <v>6.57142141423555</v>
      </c>
      <c r="K1088" s="5">
        <v>-0.73964008127923</v>
      </c>
      <c r="L1088" s="5">
        <v>-0.73964008127923</v>
      </c>
      <c r="M1088" s="5">
        <v>-0.73964008127923</v>
      </c>
      <c r="N1088" s="5">
        <v>7.31106149551478</v>
      </c>
      <c r="O1088" s="5">
        <v>7.31106149551478</v>
      </c>
      <c r="P1088" s="5">
        <v>7.31106149551478</v>
      </c>
      <c r="Q1088" s="5">
        <v>0.0</v>
      </c>
      <c r="R1088" s="5">
        <v>0.0</v>
      </c>
      <c r="S1088" s="5">
        <v>0.0</v>
      </c>
      <c r="T1088" s="5">
        <v>217.135335838789</v>
      </c>
    </row>
    <row r="1089">
      <c r="A1089" s="5">
        <v>1087.0</v>
      </c>
      <c r="B1089" s="6">
        <v>45159.0</v>
      </c>
      <c r="C1089" s="5">
        <v>210.615037344439</v>
      </c>
      <c r="D1089" s="5">
        <v>178.01615679432</v>
      </c>
      <c r="E1089" s="5">
        <v>256.126627796114</v>
      </c>
      <c r="F1089" s="5">
        <v>210.615037344439</v>
      </c>
      <c r="G1089" s="5">
        <v>210.615037344439</v>
      </c>
      <c r="H1089" s="5">
        <v>8.95851485425082</v>
      </c>
      <c r="I1089" s="5">
        <v>8.95851485425082</v>
      </c>
      <c r="J1089" s="5">
        <v>8.95851485425082</v>
      </c>
      <c r="K1089" s="5">
        <v>1.16457933345097</v>
      </c>
      <c r="L1089" s="5">
        <v>1.16457933345097</v>
      </c>
      <c r="M1089" s="5">
        <v>1.16457933345097</v>
      </c>
      <c r="N1089" s="5">
        <v>7.79393552079984</v>
      </c>
      <c r="O1089" s="5">
        <v>7.79393552079984</v>
      </c>
      <c r="P1089" s="5">
        <v>7.79393552079984</v>
      </c>
      <c r="Q1089" s="5">
        <v>0.0</v>
      </c>
      <c r="R1089" s="5">
        <v>0.0</v>
      </c>
      <c r="S1089" s="5">
        <v>0.0</v>
      </c>
      <c r="T1089" s="5">
        <v>219.57355219869</v>
      </c>
    </row>
    <row r="1090">
      <c r="A1090" s="5">
        <v>1088.0</v>
      </c>
      <c r="B1090" s="6">
        <v>45160.0</v>
      </c>
      <c r="C1090" s="5">
        <v>210.632078317734</v>
      </c>
      <c r="D1090" s="5">
        <v>174.179612572162</v>
      </c>
      <c r="E1090" s="5">
        <v>257.603075730419</v>
      </c>
      <c r="F1090" s="5">
        <v>210.632078317734</v>
      </c>
      <c r="G1090" s="5">
        <v>210.632078317734</v>
      </c>
      <c r="H1090" s="5">
        <v>8.21996481129957</v>
      </c>
      <c r="I1090" s="5">
        <v>8.21996481129957</v>
      </c>
      <c r="J1090" s="5">
        <v>8.21996481129957</v>
      </c>
      <c r="K1090" s="5">
        <v>0.247324772138642</v>
      </c>
      <c r="L1090" s="5">
        <v>0.247324772138642</v>
      </c>
      <c r="M1090" s="5">
        <v>0.247324772138642</v>
      </c>
      <c r="N1090" s="5">
        <v>7.97264003916093</v>
      </c>
      <c r="O1090" s="5">
        <v>7.97264003916093</v>
      </c>
      <c r="P1090" s="5">
        <v>7.97264003916093</v>
      </c>
      <c r="Q1090" s="5">
        <v>0.0</v>
      </c>
      <c r="R1090" s="5">
        <v>0.0</v>
      </c>
      <c r="S1090" s="5">
        <v>0.0</v>
      </c>
      <c r="T1090" s="5">
        <v>218.852043129034</v>
      </c>
    </row>
    <row r="1091">
      <c r="A1091" s="5">
        <v>1089.0</v>
      </c>
      <c r="B1091" s="6">
        <v>45161.0</v>
      </c>
      <c r="C1091" s="5">
        <v>210.649119291029</v>
      </c>
      <c r="D1091" s="5">
        <v>181.130482898898</v>
      </c>
      <c r="E1091" s="5">
        <v>258.491317661387</v>
      </c>
      <c r="F1091" s="5">
        <v>210.649119291029</v>
      </c>
      <c r="G1091" s="5">
        <v>210.649119291029</v>
      </c>
      <c r="H1091" s="5">
        <v>8.77505125827036</v>
      </c>
      <c r="I1091" s="5">
        <v>8.77505125827036</v>
      </c>
      <c r="J1091" s="5">
        <v>8.77505125827036</v>
      </c>
      <c r="K1091" s="5">
        <v>0.608132553627361</v>
      </c>
      <c r="L1091" s="5">
        <v>0.608132553627361</v>
      </c>
      <c r="M1091" s="5">
        <v>0.608132553627361</v>
      </c>
      <c r="N1091" s="5">
        <v>8.166918704643</v>
      </c>
      <c r="O1091" s="5">
        <v>8.166918704643</v>
      </c>
      <c r="P1091" s="5">
        <v>8.166918704643</v>
      </c>
      <c r="Q1091" s="5">
        <v>0.0</v>
      </c>
      <c r="R1091" s="5">
        <v>0.0</v>
      </c>
      <c r="S1091" s="5">
        <v>0.0</v>
      </c>
      <c r="T1091" s="5">
        <v>219.4241705493</v>
      </c>
    </row>
    <row r="1092">
      <c r="A1092" s="5">
        <v>1090.0</v>
      </c>
      <c r="B1092" s="6">
        <v>45162.0</v>
      </c>
      <c r="C1092" s="5">
        <v>210.666160264325</v>
      </c>
      <c r="D1092" s="5">
        <v>179.549129271331</v>
      </c>
      <c r="E1092" s="5">
        <v>257.931867086199</v>
      </c>
      <c r="F1092" s="5">
        <v>210.666160264325</v>
      </c>
      <c r="G1092" s="5">
        <v>210.666160264325</v>
      </c>
      <c r="H1092" s="5">
        <v>8.15574382701703</v>
      </c>
      <c r="I1092" s="5">
        <v>8.15574382701703</v>
      </c>
      <c r="J1092" s="5">
        <v>8.15574382701703</v>
      </c>
      <c r="K1092" s="5">
        <v>-0.225417905349713</v>
      </c>
      <c r="L1092" s="5">
        <v>-0.225417905349713</v>
      </c>
      <c r="M1092" s="5">
        <v>-0.225417905349713</v>
      </c>
      <c r="N1092" s="5">
        <v>8.38116173236675</v>
      </c>
      <c r="O1092" s="5">
        <v>8.38116173236675</v>
      </c>
      <c r="P1092" s="5">
        <v>8.38116173236675</v>
      </c>
      <c r="Q1092" s="5">
        <v>0.0</v>
      </c>
      <c r="R1092" s="5">
        <v>0.0</v>
      </c>
      <c r="S1092" s="5">
        <v>0.0</v>
      </c>
      <c r="T1092" s="5">
        <v>218.821904091342</v>
      </c>
    </row>
    <row r="1093">
      <c r="A1093" s="5">
        <v>1091.0</v>
      </c>
      <c r="B1093" s="6">
        <v>45163.0</v>
      </c>
      <c r="C1093" s="5">
        <v>210.68320123762</v>
      </c>
      <c r="D1093" s="5">
        <v>179.182226779338</v>
      </c>
      <c r="E1093" s="5">
        <v>259.603422993429</v>
      </c>
      <c r="F1093" s="5">
        <v>210.68320123762</v>
      </c>
      <c r="G1093" s="5">
        <v>210.68320123762</v>
      </c>
      <c r="H1093" s="5">
        <v>7.88010700024292</v>
      </c>
      <c r="I1093" s="5">
        <v>7.88010700024292</v>
      </c>
      <c r="J1093" s="5">
        <v>7.88010700024292</v>
      </c>
      <c r="K1093" s="5">
        <v>-0.739640081283818</v>
      </c>
      <c r="L1093" s="5">
        <v>-0.739640081283818</v>
      </c>
      <c r="M1093" s="5">
        <v>-0.739640081283818</v>
      </c>
      <c r="N1093" s="5">
        <v>8.61974708152674</v>
      </c>
      <c r="O1093" s="5">
        <v>8.61974708152674</v>
      </c>
      <c r="P1093" s="5">
        <v>8.61974708152674</v>
      </c>
      <c r="Q1093" s="5">
        <v>0.0</v>
      </c>
      <c r="R1093" s="5">
        <v>0.0</v>
      </c>
      <c r="S1093" s="5">
        <v>0.0</v>
      </c>
      <c r="T1093" s="5">
        <v>218.563308237863</v>
      </c>
    </row>
    <row r="1094">
      <c r="A1094" s="5">
        <v>1092.0</v>
      </c>
      <c r="B1094" s="6">
        <v>45166.0</v>
      </c>
      <c r="C1094" s="5">
        <v>210.734324157506</v>
      </c>
      <c r="D1094" s="5">
        <v>180.480659082506</v>
      </c>
      <c r="E1094" s="5">
        <v>263.3614715938</v>
      </c>
      <c r="F1094" s="5">
        <v>210.734324157506</v>
      </c>
      <c r="G1094" s="5">
        <v>210.734324157506</v>
      </c>
      <c r="H1094" s="5">
        <v>10.6853765750319</v>
      </c>
      <c r="I1094" s="5">
        <v>10.6853765750319</v>
      </c>
      <c r="J1094" s="5">
        <v>10.6853765750319</v>
      </c>
      <c r="K1094" s="5">
        <v>1.16457933345121</v>
      </c>
      <c r="L1094" s="5">
        <v>1.16457933345121</v>
      </c>
      <c r="M1094" s="5">
        <v>1.16457933345121</v>
      </c>
      <c r="N1094" s="5">
        <v>9.52079724158078</v>
      </c>
      <c r="O1094" s="5">
        <v>9.52079724158078</v>
      </c>
      <c r="P1094" s="5">
        <v>9.52079724158078</v>
      </c>
      <c r="Q1094" s="5">
        <v>0.0</v>
      </c>
      <c r="R1094" s="5">
        <v>0.0</v>
      </c>
      <c r="S1094" s="5">
        <v>0.0</v>
      </c>
      <c r="T1094" s="5">
        <v>221.419700732538</v>
      </c>
    </row>
    <row r="1095">
      <c r="A1095" s="5">
        <v>1093.0</v>
      </c>
      <c r="B1095" s="6">
        <v>45167.0</v>
      </c>
      <c r="C1095" s="5">
        <v>210.751365130801</v>
      </c>
      <c r="D1095" s="5">
        <v>180.574104726685</v>
      </c>
      <c r="E1095" s="5">
        <v>258.552261651038</v>
      </c>
      <c r="F1095" s="5">
        <v>210.751365130801</v>
      </c>
      <c r="G1095" s="5">
        <v>210.751365130801</v>
      </c>
      <c r="H1095" s="5">
        <v>10.1403303594262</v>
      </c>
      <c r="I1095" s="5">
        <v>10.1403303594262</v>
      </c>
      <c r="J1095" s="5">
        <v>10.1403303594262</v>
      </c>
      <c r="K1095" s="5">
        <v>0.247324772137307</v>
      </c>
      <c r="L1095" s="5">
        <v>0.247324772137307</v>
      </c>
      <c r="M1095" s="5">
        <v>0.247324772137307</v>
      </c>
      <c r="N1095" s="5">
        <v>9.89300558728894</v>
      </c>
      <c r="O1095" s="5">
        <v>9.89300558728894</v>
      </c>
      <c r="P1095" s="5">
        <v>9.89300558728894</v>
      </c>
      <c r="Q1095" s="5">
        <v>0.0</v>
      </c>
      <c r="R1095" s="5">
        <v>0.0</v>
      </c>
      <c r="S1095" s="5">
        <v>0.0</v>
      </c>
      <c r="T1095" s="5">
        <v>220.891695490227</v>
      </c>
    </row>
    <row r="1096">
      <c r="A1096" s="5">
        <v>1094.0</v>
      </c>
      <c r="B1096" s="6">
        <v>45168.0</v>
      </c>
      <c r="C1096" s="5">
        <v>210.768406104096</v>
      </c>
      <c r="D1096" s="5">
        <v>180.99957348283</v>
      </c>
      <c r="E1096" s="5">
        <v>261.328346338923</v>
      </c>
      <c r="F1096" s="5">
        <v>210.768406104096</v>
      </c>
      <c r="G1096" s="5">
        <v>210.768406104096</v>
      </c>
      <c r="H1096" s="5">
        <v>10.9121277985305</v>
      </c>
      <c r="I1096" s="5">
        <v>10.9121277985305</v>
      </c>
      <c r="J1096" s="5">
        <v>10.9121277985305</v>
      </c>
      <c r="K1096" s="5">
        <v>0.608132553626471</v>
      </c>
      <c r="L1096" s="5">
        <v>0.608132553626471</v>
      </c>
      <c r="M1096" s="5">
        <v>0.608132553626471</v>
      </c>
      <c r="N1096" s="5">
        <v>10.303995244904</v>
      </c>
      <c r="O1096" s="5">
        <v>10.303995244904</v>
      </c>
      <c r="P1096" s="5">
        <v>10.303995244904</v>
      </c>
      <c r="Q1096" s="5">
        <v>0.0</v>
      </c>
      <c r="R1096" s="5">
        <v>0.0</v>
      </c>
      <c r="S1096" s="5">
        <v>0.0</v>
      </c>
      <c r="T1096" s="5">
        <v>221.680533902627</v>
      </c>
    </row>
    <row r="1097">
      <c r="A1097" s="5">
        <v>1095.0</v>
      </c>
      <c r="B1097" s="6">
        <v>45169.0</v>
      </c>
      <c r="C1097" s="5">
        <v>210.785447077391</v>
      </c>
      <c r="D1097" s="5">
        <v>181.559593180818</v>
      </c>
      <c r="E1097" s="5">
        <v>260.665509465826</v>
      </c>
      <c r="F1097" s="5">
        <v>210.785447077391</v>
      </c>
      <c r="G1097" s="5">
        <v>210.785447077391</v>
      </c>
      <c r="H1097" s="5">
        <v>10.5283706388936</v>
      </c>
      <c r="I1097" s="5">
        <v>10.5283706388936</v>
      </c>
      <c r="J1097" s="5">
        <v>10.5283706388936</v>
      </c>
      <c r="K1097" s="5">
        <v>-0.225417905350752</v>
      </c>
      <c r="L1097" s="5">
        <v>-0.225417905350752</v>
      </c>
      <c r="M1097" s="5">
        <v>-0.225417905350752</v>
      </c>
      <c r="N1097" s="5">
        <v>10.7537885442443</v>
      </c>
      <c r="O1097" s="5">
        <v>10.7537885442443</v>
      </c>
      <c r="P1097" s="5">
        <v>10.7537885442443</v>
      </c>
      <c r="Q1097" s="5">
        <v>0.0</v>
      </c>
      <c r="R1097" s="5">
        <v>0.0</v>
      </c>
      <c r="S1097" s="5">
        <v>0.0</v>
      </c>
      <c r="T1097" s="5">
        <v>221.313817716285</v>
      </c>
    </row>
    <row r="1098">
      <c r="A1098" s="5">
        <v>1096.0</v>
      </c>
      <c r="B1098" s="6">
        <v>45170.0</v>
      </c>
      <c r="C1098" s="5">
        <v>210.802488050687</v>
      </c>
      <c r="D1098" s="5">
        <v>181.337552060638</v>
      </c>
      <c r="E1098" s="5">
        <v>261.73261770298</v>
      </c>
      <c r="F1098" s="5">
        <v>210.802488050687</v>
      </c>
      <c r="G1098" s="5">
        <v>210.802488050687</v>
      </c>
      <c r="H1098" s="5">
        <v>10.5014433393731</v>
      </c>
      <c r="I1098" s="5">
        <v>10.5014433393731</v>
      </c>
      <c r="J1098" s="5">
        <v>10.5014433393731</v>
      </c>
      <c r="K1098" s="5">
        <v>-0.739640081281541</v>
      </c>
      <c r="L1098" s="5">
        <v>-0.739640081281541</v>
      </c>
      <c r="M1098" s="5">
        <v>-0.739640081281541</v>
      </c>
      <c r="N1098" s="5">
        <v>11.2410834206547</v>
      </c>
      <c r="O1098" s="5">
        <v>11.2410834206547</v>
      </c>
      <c r="P1098" s="5">
        <v>11.2410834206547</v>
      </c>
      <c r="Q1098" s="5">
        <v>0.0</v>
      </c>
      <c r="R1098" s="5">
        <v>0.0</v>
      </c>
      <c r="S1098" s="5">
        <v>0.0</v>
      </c>
      <c r="T1098" s="5">
        <v>221.30393139006</v>
      </c>
    </row>
    <row r="1099">
      <c r="A1099" s="5">
        <v>1097.0</v>
      </c>
      <c r="B1099" s="6">
        <v>45174.0</v>
      </c>
      <c r="C1099" s="5">
        <v>210.870651943868</v>
      </c>
      <c r="D1099" s="5">
        <v>184.083354703316</v>
      </c>
      <c r="E1099" s="5">
        <v>262.558131544067</v>
      </c>
      <c r="F1099" s="5">
        <v>210.870651943868</v>
      </c>
      <c r="G1099" s="5">
        <v>210.870651943868</v>
      </c>
      <c r="H1099" s="5">
        <v>13.7360668394253</v>
      </c>
      <c r="I1099" s="5">
        <v>13.7360668394253</v>
      </c>
      <c r="J1099" s="5">
        <v>13.7360668394253</v>
      </c>
      <c r="K1099" s="5">
        <v>0.247324772140116</v>
      </c>
      <c r="L1099" s="5">
        <v>0.247324772140116</v>
      </c>
      <c r="M1099" s="5">
        <v>0.247324772140116</v>
      </c>
      <c r="N1099" s="5">
        <v>13.4887420672852</v>
      </c>
      <c r="O1099" s="5">
        <v>13.4887420672852</v>
      </c>
      <c r="P1099" s="5">
        <v>13.4887420672852</v>
      </c>
      <c r="Q1099" s="5">
        <v>0.0</v>
      </c>
      <c r="R1099" s="5">
        <v>0.0</v>
      </c>
      <c r="S1099" s="5">
        <v>0.0</v>
      </c>
      <c r="T1099" s="5">
        <v>224.606718783293</v>
      </c>
    </row>
    <row r="1100">
      <c r="A1100" s="5">
        <v>1098.0</v>
      </c>
      <c r="B1100" s="6">
        <v>45175.0</v>
      </c>
      <c r="C1100" s="5">
        <v>210.887692917163</v>
      </c>
      <c r="D1100" s="5">
        <v>183.455340829312</v>
      </c>
      <c r="E1100" s="5">
        <v>265.912219234543</v>
      </c>
      <c r="F1100" s="5">
        <v>210.887692917163</v>
      </c>
      <c r="G1100" s="5">
        <v>210.887692917163</v>
      </c>
      <c r="H1100" s="5">
        <v>14.7015472598465</v>
      </c>
      <c r="I1100" s="5">
        <v>14.7015472598465</v>
      </c>
      <c r="J1100" s="5">
        <v>14.7015472598465</v>
      </c>
      <c r="K1100" s="5">
        <v>0.608132553625581</v>
      </c>
      <c r="L1100" s="5">
        <v>0.608132553625581</v>
      </c>
      <c r="M1100" s="5">
        <v>0.608132553625581</v>
      </c>
      <c r="N1100" s="5">
        <v>14.0934147062209</v>
      </c>
      <c r="O1100" s="5">
        <v>14.0934147062209</v>
      </c>
      <c r="P1100" s="5">
        <v>14.0934147062209</v>
      </c>
      <c r="Q1100" s="5">
        <v>0.0</v>
      </c>
      <c r="R1100" s="5">
        <v>0.0</v>
      </c>
      <c r="S1100" s="5">
        <v>0.0</v>
      </c>
      <c r="T1100" s="5">
        <v>225.58924017701</v>
      </c>
    </row>
    <row r="1101">
      <c r="A1101" s="5">
        <v>1099.0</v>
      </c>
      <c r="B1101" s="6">
        <v>45176.0</v>
      </c>
      <c r="C1101" s="5">
        <v>210.904733890458</v>
      </c>
      <c r="D1101" s="5">
        <v>186.367444251842</v>
      </c>
      <c r="E1101" s="5">
        <v>265.31666462221</v>
      </c>
      <c r="F1101" s="5">
        <v>210.904733890458</v>
      </c>
      <c r="G1101" s="5">
        <v>210.904733890458</v>
      </c>
      <c r="H1101" s="5">
        <v>14.4722940910798</v>
      </c>
      <c r="I1101" s="5">
        <v>14.4722940910798</v>
      </c>
      <c r="J1101" s="5">
        <v>14.4722940910798</v>
      </c>
      <c r="K1101" s="5">
        <v>-0.225417905346945</v>
      </c>
      <c r="L1101" s="5">
        <v>-0.225417905346945</v>
      </c>
      <c r="M1101" s="5">
        <v>-0.225417905346945</v>
      </c>
      <c r="N1101" s="5">
        <v>14.6977119964268</v>
      </c>
      <c r="O1101" s="5">
        <v>14.6977119964268</v>
      </c>
      <c r="P1101" s="5">
        <v>14.6977119964268</v>
      </c>
      <c r="Q1101" s="5">
        <v>0.0</v>
      </c>
      <c r="R1101" s="5">
        <v>0.0</v>
      </c>
      <c r="S1101" s="5">
        <v>0.0</v>
      </c>
      <c r="T1101" s="5">
        <v>225.377027981538</v>
      </c>
    </row>
    <row r="1102">
      <c r="A1102" s="5">
        <v>1100.0</v>
      </c>
      <c r="B1102" s="6">
        <v>45177.0</v>
      </c>
      <c r="C1102" s="5">
        <v>210.921774863754</v>
      </c>
      <c r="D1102" s="5">
        <v>185.420722984287</v>
      </c>
      <c r="E1102" s="5">
        <v>265.778161424666</v>
      </c>
      <c r="F1102" s="5">
        <v>210.921774863754</v>
      </c>
      <c r="G1102" s="5">
        <v>210.921774863754</v>
      </c>
      <c r="H1102" s="5">
        <v>14.5512665253514</v>
      </c>
      <c r="I1102" s="5">
        <v>14.5512665253514</v>
      </c>
      <c r="J1102" s="5">
        <v>14.5512665253514</v>
      </c>
      <c r="K1102" s="5">
        <v>-0.739640081279264</v>
      </c>
      <c r="L1102" s="5">
        <v>-0.739640081279264</v>
      </c>
      <c r="M1102" s="5">
        <v>-0.739640081279264</v>
      </c>
      <c r="N1102" s="5">
        <v>15.2909066066307</v>
      </c>
      <c r="O1102" s="5">
        <v>15.2909066066307</v>
      </c>
      <c r="P1102" s="5">
        <v>15.2909066066307</v>
      </c>
      <c r="Q1102" s="5">
        <v>0.0</v>
      </c>
      <c r="R1102" s="5">
        <v>0.0</v>
      </c>
      <c r="S1102" s="5">
        <v>0.0</v>
      </c>
      <c r="T1102" s="5">
        <v>225.473041389105</v>
      </c>
    </row>
    <row r="1103">
      <c r="A1103" s="5">
        <v>1101.0</v>
      </c>
      <c r="B1103" s="6">
        <v>45180.0</v>
      </c>
      <c r="C1103" s="5">
        <v>210.972897783639</v>
      </c>
      <c r="D1103" s="5">
        <v>186.930560140893</v>
      </c>
      <c r="E1103" s="5">
        <v>267.856717505178</v>
      </c>
      <c r="F1103" s="5">
        <v>210.972897783639</v>
      </c>
      <c r="G1103" s="5">
        <v>210.972897783639</v>
      </c>
      <c r="H1103" s="5">
        <v>18.0505994954639</v>
      </c>
      <c r="I1103" s="5">
        <v>18.0505994954639</v>
      </c>
      <c r="J1103" s="5">
        <v>18.0505994954639</v>
      </c>
      <c r="K1103" s="5">
        <v>1.16457933345005</v>
      </c>
      <c r="L1103" s="5">
        <v>1.16457933345005</v>
      </c>
      <c r="M1103" s="5">
        <v>1.16457933345005</v>
      </c>
      <c r="N1103" s="5">
        <v>16.8860201620138</v>
      </c>
      <c r="O1103" s="5">
        <v>16.8860201620138</v>
      </c>
      <c r="P1103" s="5">
        <v>16.8860201620138</v>
      </c>
      <c r="Q1103" s="5">
        <v>0.0</v>
      </c>
      <c r="R1103" s="5">
        <v>0.0</v>
      </c>
      <c r="S1103" s="5">
        <v>0.0</v>
      </c>
      <c r="T1103" s="5">
        <v>229.023497279103</v>
      </c>
    </row>
    <row r="1104">
      <c r="A1104" s="5">
        <v>1102.0</v>
      </c>
      <c r="B1104" s="6">
        <v>45181.0</v>
      </c>
      <c r="C1104" s="5">
        <v>210.989938756935</v>
      </c>
      <c r="D1104" s="5">
        <v>191.036714998288</v>
      </c>
      <c r="E1104" s="5">
        <v>268.968118939186</v>
      </c>
      <c r="F1104" s="5">
        <v>210.989938756935</v>
      </c>
      <c r="G1104" s="5">
        <v>210.989938756935</v>
      </c>
      <c r="H1104" s="5">
        <v>17.5627109223082</v>
      </c>
      <c r="I1104" s="5">
        <v>17.5627109223082</v>
      </c>
      <c r="J1104" s="5">
        <v>17.5627109223082</v>
      </c>
      <c r="K1104" s="5">
        <v>0.247324772138781</v>
      </c>
      <c r="L1104" s="5">
        <v>0.247324772138781</v>
      </c>
      <c r="M1104" s="5">
        <v>0.247324772138781</v>
      </c>
      <c r="N1104" s="5">
        <v>17.3153861501694</v>
      </c>
      <c r="O1104" s="5">
        <v>17.3153861501694</v>
      </c>
      <c r="P1104" s="5">
        <v>17.3153861501694</v>
      </c>
      <c r="Q1104" s="5">
        <v>0.0</v>
      </c>
      <c r="R1104" s="5">
        <v>0.0</v>
      </c>
      <c r="S1104" s="5">
        <v>0.0</v>
      </c>
      <c r="T1104" s="5">
        <v>228.552649679243</v>
      </c>
    </row>
    <row r="1105">
      <c r="A1105" s="5">
        <v>1103.0</v>
      </c>
      <c r="B1105" s="6">
        <v>45182.0</v>
      </c>
      <c r="C1105" s="5">
        <v>211.00697973023</v>
      </c>
      <c r="D1105" s="5">
        <v>187.102592545383</v>
      </c>
      <c r="E1105" s="5">
        <v>268.213766338031</v>
      </c>
      <c r="F1105" s="5">
        <v>211.00697973023</v>
      </c>
      <c r="G1105" s="5">
        <v>211.00697973023</v>
      </c>
      <c r="H1105" s="5">
        <v>18.2816021170482</v>
      </c>
      <c r="I1105" s="5">
        <v>18.2816021170482</v>
      </c>
      <c r="J1105" s="5">
        <v>18.2816021170482</v>
      </c>
      <c r="K1105" s="5">
        <v>0.608132553624692</v>
      </c>
      <c r="L1105" s="5">
        <v>0.608132553624692</v>
      </c>
      <c r="M1105" s="5">
        <v>0.608132553624692</v>
      </c>
      <c r="N1105" s="5">
        <v>17.6734695634235</v>
      </c>
      <c r="O1105" s="5">
        <v>17.6734695634235</v>
      </c>
      <c r="P1105" s="5">
        <v>17.6734695634235</v>
      </c>
      <c r="Q1105" s="5">
        <v>0.0</v>
      </c>
      <c r="R1105" s="5">
        <v>0.0</v>
      </c>
      <c r="S1105" s="5">
        <v>0.0</v>
      </c>
      <c r="T1105" s="5">
        <v>229.288581847278</v>
      </c>
    </row>
    <row r="1106">
      <c r="A1106" s="5">
        <v>1104.0</v>
      </c>
      <c r="B1106" s="6">
        <v>45183.0</v>
      </c>
      <c r="C1106" s="5">
        <v>211.024020703525</v>
      </c>
      <c r="D1106" s="5">
        <v>188.616029315825</v>
      </c>
      <c r="E1106" s="5">
        <v>268.823943351281</v>
      </c>
      <c r="F1106" s="5">
        <v>211.024020703525</v>
      </c>
      <c r="G1106" s="5">
        <v>211.024020703525</v>
      </c>
      <c r="H1106" s="5">
        <v>17.7236628260256</v>
      </c>
      <c r="I1106" s="5">
        <v>17.7236628260256</v>
      </c>
      <c r="J1106" s="5">
        <v>17.7236628260256</v>
      </c>
      <c r="K1106" s="5">
        <v>-0.22541790534991</v>
      </c>
      <c r="L1106" s="5">
        <v>-0.22541790534991</v>
      </c>
      <c r="M1106" s="5">
        <v>-0.22541790534991</v>
      </c>
      <c r="N1106" s="5">
        <v>17.9490807313755</v>
      </c>
      <c r="O1106" s="5">
        <v>17.9490807313755</v>
      </c>
      <c r="P1106" s="5">
        <v>17.9490807313755</v>
      </c>
      <c r="Q1106" s="5">
        <v>0.0</v>
      </c>
      <c r="R1106" s="5">
        <v>0.0</v>
      </c>
      <c r="S1106" s="5">
        <v>0.0</v>
      </c>
      <c r="T1106" s="5">
        <v>228.747683529551</v>
      </c>
    </row>
    <row r="1107">
      <c r="A1107" s="5">
        <v>1105.0</v>
      </c>
      <c r="B1107" s="6">
        <v>45184.0</v>
      </c>
      <c r="C1107" s="5">
        <v>211.04106167682</v>
      </c>
      <c r="D1107" s="5">
        <v>184.928772536725</v>
      </c>
      <c r="E1107" s="5">
        <v>265.5108651439</v>
      </c>
      <c r="F1107" s="5">
        <v>211.04106167682</v>
      </c>
      <c r="G1107" s="5">
        <v>211.04106167682</v>
      </c>
      <c r="H1107" s="5">
        <v>17.3924383409555</v>
      </c>
      <c r="I1107" s="5">
        <v>17.3924383409555</v>
      </c>
      <c r="J1107" s="5">
        <v>17.3924383409555</v>
      </c>
      <c r="K1107" s="5">
        <v>-0.73964008128042</v>
      </c>
      <c r="L1107" s="5">
        <v>-0.73964008128042</v>
      </c>
      <c r="M1107" s="5">
        <v>-0.73964008128042</v>
      </c>
      <c r="N1107" s="5">
        <v>18.1320784222359</v>
      </c>
      <c r="O1107" s="5">
        <v>18.1320784222359</v>
      </c>
      <c r="P1107" s="5">
        <v>18.1320784222359</v>
      </c>
      <c r="Q1107" s="5">
        <v>0.0</v>
      </c>
      <c r="R1107" s="5">
        <v>0.0</v>
      </c>
      <c r="S1107" s="5">
        <v>0.0</v>
      </c>
      <c r="T1107" s="5">
        <v>228.433500017776</v>
      </c>
    </row>
    <row r="1108">
      <c r="A1108" s="5">
        <v>1106.0</v>
      </c>
      <c r="B1108" s="6">
        <v>45187.0</v>
      </c>
      <c r="C1108" s="5">
        <v>211.092184596706</v>
      </c>
      <c r="D1108" s="5">
        <v>192.949329115145</v>
      </c>
      <c r="E1108" s="5">
        <v>271.575128249326</v>
      </c>
      <c r="F1108" s="5">
        <v>211.092184596706</v>
      </c>
      <c r="G1108" s="5">
        <v>211.092184596706</v>
      </c>
      <c r="H1108" s="5">
        <v>19.2107256476238</v>
      </c>
      <c r="I1108" s="5">
        <v>19.2107256476238</v>
      </c>
      <c r="J1108" s="5">
        <v>19.2107256476238</v>
      </c>
      <c r="K1108" s="5">
        <v>1.16457933345049</v>
      </c>
      <c r="L1108" s="5">
        <v>1.16457933345049</v>
      </c>
      <c r="M1108" s="5">
        <v>1.16457933345049</v>
      </c>
      <c r="N1108" s="5">
        <v>18.0461463141733</v>
      </c>
      <c r="O1108" s="5">
        <v>18.0461463141733</v>
      </c>
      <c r="P1108" s="5">
        <v>18.0461463141733</v>
      </c>
      <c r="Q1108" s="5">
        <v>0.0</v>
      </c>
      <c r="R1108" s="5">
        <v>0.0</v>
      </c>
      <c r="S1108" s="5">
        <v>0.0</v>
      </c>
      <c r="T1108" s="5">
        <v>230.30291024433</v>
      </c>
    </row>
    <row r="1109">
      <c r="A1109" s="5">
        <v>1107.0</v>
      </c>
      <c r="B1109" s="6">
        <v>45188.0</v>
      </c>
      <c r="C1109" s="5">
        <v>211.109225570002</v>
      </c>
      <c r="D1109" s="5">
        <v>188.944503668327</v>
      </c>
      <c r="E1109" s="5">
        <v>268.852126191784</v>
      </c>
      <c r="F1109" s="5">
        <v>211.109225570002</v>
      </c>
      <c r="G1109" s="5">
        <v>211.109225570002</v>
      </c>
      <c r="H1109" s="5">
        <v>18.036034179894</v>
      </c>
      <c r="I1109" s="5">
        <v>18.036034179894</v>
      </c>
      <c r="J1109" s="5">
        <v>18.036034179894</v>
      </c>
      <c r="K1109" s="5">
        <v>0.247324772140292</v>
      </c>
      <c r="L1109" s="5">
        <v>0.247324772140292</v>
      </c>
      <c r="M1109" s="5">
        <v>0.247324772140292</v>
      </c>
      <c r="N1109" s="5">
        <v>17.7887094077537</v>
      </c>
      <c r="O1109" s="5">
        <v>17.7887094077537</v>
      </c>
      <c r="P1109" s="5">
        <v>17.7887094077537</v>
      </c>
      <c r="Q1109" s="5">
        <v>0.0</v>
      </c>
      <c r="R1109" s="5">
        <v>0.0</v>
      </c>
      <c r="S1109" s="5">
        <v>0.0</v>
      </c>
      <c r="T1109" s="5">
        <v>229.145259749896</v>
      </c>
    </row>
    <row r="1110">
      <c r="A1110" s="5">
        <v>1108.0</v>
      </c>
      <c r="B1110" s="6">
        <v>45189.0</v>
      </c>
      <c r="C1110" s="5">
        <v>211.126266543297</v>
      </c>
      <c r="D1110" s="5">
        <v>187.93632356651</v>
      </c>
      <c r="E1110" s="5">
        <v>268.638241397714</v>
      </c>
      <c r="F1110" s="5">
        <v>211.126266543297</v>
      </c>
      <c r="G1110" s="5">
        <v>211.126266543297</v>
      </c>
      <c r="H1110" s="5">
        <v>18.0218139515586</v>
      </c>
      <c r="I1110" s="5">
        <v>18.0218139515586</v>
      </c>
      <c r="J1110" s="5">
        <v>18.0218139515586</v>
      </c>
      <c r="K1110" s="5">
        <v>0.608132553626471</v>
      </c>
      <c r="L1110" s="5">
        <v>0.608132553626471</v>
      </c>
      <c r="M1110" s="5">
        <v>0.608132553626471</v>
      </c>
      <c r="N1110" s="5">
        <v>17.4136813979321</v>
      </c>
      <c r="O1110" s="5">
        <v>17.4136813979321</v>
      </c>
      <c r="P1110" s="5">
        <v>17.4136813979321</v>
      </c>
      <c r="Q1110" s="5">
        <v>0.0</v>
      </c>
      <c r="R1110" s="5">
        <v>0.0</v>
      </c>
      <c r="S1110" s="5">
        <v>0.0</v>
      </c>
      <c r="T1110" s="5">
        <v>229.148080494855</v>
      </c>
    </row>
    <row r="1111">
      <c r="A1111" s="5">
        <v>1109.0</v>
      </c>
      <c r="B1111" s="6">
        <v>45190.0</v>
      </c>
      <c r="C1111" s="5">
        <v>211.143307516592</v>
      </c>
      <c r="D1111" s="5">
        <v>187.811127906255</v>
      </c>
      <c r="E1111" s="5">
        <v>267.664551706407</v>
      </c>
      <c r="F1111" s="5">
        <v>211.143307516592</v>
      </c>
      <c r="G1111" s="5">
        <v>211.143307516592</v>
      </c>
      <c r="H1111" s="5">
        <v>16.6972661568627</v>
      </c>
      <c r="I1111" s="5">
        <v>16.6972661568627</v>
      </c>
      <c r="J1111" s="5">
        <v>16.6972661568627</v>
      </c>
      <c r="K1111" s="5">
        <v>-0.225417905349489</v>
      </c>
      <c r="L1111" s="5">
        <v>-0.225417905349489</v>
      </c>
      <c r="M1111" s="5">
        <v>-0.225417905349489</v>
      </c>
      <c r="N1111" s="5">
        <v>16.9226840622122</v>
      </c>
      <c r="O1111" s="5">
        <v>16.9226840622122</v>
      </c>
      <c r="P1111" s="5">
        <v>16.9226840622122</v>
      </c>
      <c r="Q1111" s="5">
        <v>0.0</v>
      </c>
      <c r="R1111" s="5">
        <v>0.0</v>
      </c>
      <c r="S1111" s="5">
        <v>0.0</v>
      </c>
      <c r="T1111" s="5">
        <v>227.840573673455</v>
      </c>
    </row>
    <row r="1112">
      <c r="A1112" s="5">
        <v>1110.0</v>
      </c>
      <c r="B1112" s="6">
        <v>45191.0</v>
      </c>
      <c r="C1112" s="5">
        <v>211.160348489887</v>
      </c>
      <c r="D1112" s="5">
        <v>185.622668450799</v>
      </c>
      <c r="E1112" s="5">
        <v>268.421107485241</v>
      </c>
      <c r="F1112" s="5">
        <v>211.160348489887</v>
      </c>
      <c r="G1112" s="5">
        <v>211.160348489887</v>
      </c>
      <c r="H1112" s="5">
        <v>15.5801579970153</v>
      </c>
      <c r="I1112" s="5">
        <v>15.5801579970153</v>
      </c>
      <c r="J1112" s="5">
        <v>15.5801579970153</v>
      </c>
      <c r="K1112" s="5">
        <v>-0.739640081279514</v>
      </c>
      <c r="L1112" s="5">
        <v>-0.739640081279514</v>
      </c>
      <c r="M1112" s="5">
        <v>-0.739640081279514</v>
      </c>
      <c r="N1112" s="5">
        <v>16.3197980782948</v>
      </c>
      <c r="O1112" s="5">
        <v>16.3197980782948</v>
      </c>
      <c r="P1112" s="5">
        <v>16.3197980782948</v>
      </c>
      <c r="Q1112" s="5">
        <v>0.0</v>
      </c>
      <c r="R1112" s="5">
        <v>0.0</v>
      </c>
      <c r="S1112" s="5">
        <v>0.0</v>
      </c>
      <c r="T1112" s="5">
        <v>226.740506486903</v>
      </c>
    </row>
    <row r="1113">
      <c r="A1113" s="5">
        <v>1111.0</v>
      </c>
      <c r="B1113" s="6">
        <v>45194.0</v>
      </c>
      <c r="C1113" s="5">
        <v>211.211471409773</v>
      </c>
      <c r="D1113" s="5">
        <v>186.990451206459</v>
      </c>
      <c r="E1113" s="5">
        <v>268.058100805682</v>
      </c>
      <c r="F1113" s="5">
        <v>211.211471409773</v>
      </c>
      <c r="G1113" s="5">
        <v>211.211471409773</v>
      </c>
      <c r="H1113" s="5">
        <v>15.0813818639989</v>
      </c>
      <c r="I1113" s="5">
        <v>15.0813818639989</v>
      </c>
      <c r="J1113" s="5">
        <v>15.0813818639989</v>
      </c>
      <c r="K1113" s="5">
        <v>1.16457933345072</v>
      </c>
      <c r="L1113" s="5">
        <v>1.16457933345072</v>
      </c>
      <c r="M1113" s="5">
        <v>1.16457933345072</v>
      </c>
      <c r="N1113" s="5">
        <v>13.9168025305481</v>
      </c>
      <c r="O1113" s="5">
        <v>13.9168025305481</v>
      </c>
      <c r="P1113" s="5">
        <v>13.9168025305481</v>
      </c>
      <c r="Q1113" s="5">
        <v>0.0</v>
      </c>
      <c r="R1113" s="5">
        <v>0.0</v>
      </c>
      <c r="S1113" s="5">
        <v>0.0</v>
      </c>
      <c r="T1113" s="5">
        <v>226.292853273772</v>
      </c>
    </row>
    <row r="1114">
      <c r="A1114" s="5">
        <v>1112.0</v>
      </c>
      <c r="B1114" s="6">
        <v>45195.0</v>
      </c>
      <c r="C1114" s="5">
        <v>211.228512383068</v>
      </c>
      <c r="D1114" s="5">
        <v>183.571132595632</v>
      </c>
      <c r="E1114" s="5">
        <v>263.690858194738</v>
      </c>
      <c r="F1114" s="5">
        <v>211.228512383068</v>
      </c>
      <c r="G1114" s="5">
        <v>211.228512383068</v>
      </c>
      <c r="H1114" s="5">
        <v>13.2019140917805</v>
      </c>
      <c r="I1114" s="5">
        <v>13.2019140917805</v>
      </c>
      <c r="J1114" s="5">
        <v>13.2019140917805</v>
      </c>
      <c r="K1114" s="5">
        <v>0.247324772138958</v>
      </c>
      <c r="L1114" s="5">
        <v>0.247324772138958</v>
      </c>
      <c r="M1114" s="5">
        <v>0.247324772138958</v>
      </c>
      <c r="N1114" s="5">
        <v>12.9545893196415</v>
      </c>
      <c r="O1114" s="5">
        <v>12.9545893196415</v>
      </c>
      <c r="P1114" s="5">
        <v>12.9545893196415</v>
      </c>
      <c r="Q1114" s="5">
        <v>0.0</v>
      </c>
      <c r="R1114" s="5">
        <v>0.0</v>
      </c>
      <c r="S1114" s="5">
        <v>0.0</v>
      </c>
      <c r="T1114" s="5">
        <v>224.430426474849</v>
      </c>
    </row>
    <row r="1115">
      <c r="A1115" s="5">
        <v>1113.0</v>
      </c>
      <c r="B1115" s="6">
        <v>45196.0</v>
      </c>
      <c r="C1115" s="5">
        <v>211.245553356364</v>
      </c>
      <c r="D1115" s="5">
        <v>184.035665186091</v>
      </c>
      <c r="E1115" s="5">
        <v>267.670073357039</v>
      </c>
      <c r="F1115" s="5">
        <v>211.245553356364</v>
      </c>
      <c r="G1115" s="5">
        <v>211.245553356364</v>
      </c>
      <c r="H1115" s="5">
        <v>12.5432647088836</v>
      </c>
      <c r="I1115" s="5">
        <v>12.5432647088836</v>
      </c>
      <c r="J1115" s="5">
        <v>12.5432647088836</v>
      </c>
      <c r="K1115" s="5">
        <v>0.608132553627135</v>
      </c>
      <c r="L1115" s="5">
        <v>0.608132553627135</v>
      </c>
      <c r="M1115" s="5">
        <v>0.608132553627135</v>
      </c>
      <c r="N1115" s="5">
        <v>11.9351321552565</v>
      </c>
      <c r="O1115" s="5">
        <v>11.9351321552565</v>
      </c>
      <c r="P1115" s="5">
        <v>11.9351321552565</v>
      </c>
      <c r="Q1115" s="5">
        <v>0.0</v>
      </c>
      <c r="R1115" s="5">
        <v>0.0</v>
      </c>
      <c r="S1115" s="5">
        <v>0.0</v>
      </c>
      <c r="T1115" s="5">
        <v>223.788818065247</v>
      </c>
    </row>
    <row r="1116">
      <c r="A1116" s="5">
        <v>1114.0</v>
      </c>
      <c r="B1116" s="6">
        <v>45197.0</v>
      </c>
      <c r="C1116" s="5">
        <v>211.262594329659</v>
      </c>
      <c r="D1116" s="5">
        <v>180.307519331146</v>
      </c>
      <c r="E1116" s="5">
        <v>260.829863738373</v>
      </c>
      <c r="F1116" s="5">
        <v>211.262594329659</v>
      </c>
      <c r="G1116" s="5">
        <v>211.262594329659</v>
      </c>
      <c r="H1116" s="5">
        <v>10.6494011738064</v>
      </c>
      <c r="I1116" s="5">
        <v>10.6494011738064</v>
      </c>
      <c r="J1116" s="5">
        <v>10.6494011738064</v>
      </c>
      <c r="K1116" s="5">
        <v>-0.225417905349068</v>
      </c>
      <c r="L1116" s="5">
        <v>-0.225417905349068</v>
      </c>
      <c r="M1116" s="5">
        <v>-0.225417905349068</v>
      </c>
      <c r="N1116" s="5">
        <v>10.8748190791554</v>
      </c>
      <c r="O1116" s="5">
        <v>10.8748190791554</v>
      </c>
      <c r="P1116" s="5">
        <v>10.8748190791554</v>
      </c>
      <c r="Q1116" s="5">
        <v>0.0</v>
      </c>
      <c r="R1116" s="5">
        <v>0.0</v>
      </c>
      <c r="S1116" s="5">
        <v>0.0</v>
      </c>
      <c r="T1116" s="5">
        <v>221.911995503465</v>
      </c>
    </row>
    <row r="1117">
      <c r="A1117" s="5">
        <v>1115.0</v>
      </c>
      <c r="B1117" s="6">
        <v>45198.0</v>
      </c>
      <c r="C1117" s="5">
        <v>211.279635302954</v>
      </c>
      <c r="D1117" s="5">
        <v>179.63514774114</v>
      </c>
      <c r="E1117" s="5">
        <v>259.131862254939</v>
      </c>
      <c r="F1117" s="5">
        <v>211.279635302954</v>
      </c>
      <c r="G1117" s="5">
        <v>211.279635302954</v>
      </c>
      <c r="H1117" s="5">
        <v>9.05150237494358</v>
      </c>
      <c r="I1117" s="5">
        <v>9.05150237494358</v>
      </c>
      <c r="J1117" s="5">
        <v>9.05150237494358</v>
      </c>
      <c r="K1117" s="5">
        <v>-0.739640081284102</v>
      </c>
      <c r="L1117" s="5">
        <v>-0.739640081284102</v>
      </c>
      <c r="M1117" s="5">
        <v>-0.739640081284102</v>
      </c>
      <c r="N1117" s="5">
        <v>9.79114245622768</v>
      </c>
      <c r="O1117" s="5">
        <v>9.79114245622768</v>
      </c>
      <c r="P1117" s="5">
        <v>9.79114245622768</v>
      </c>
      <c r="Q1117" s="5">
        <v>0.0</v>
      </c>
      <c r="R1117" s="5">
        <v>0.0</v>
      </c>
      <c r="S1117" s="5">
        <v>0.0</v>
      </c>
      <c r="T1117" s="5">
        <v>220.331137677898</v>
      </c>
    </row>
    <row r="1118">
      <c r="A1118" s="5">
        <v>1116.0</v>
      </c>
      <c r="B1118" s="6">
        <v>45201.0</v>
      </c>
      <c r="C1118" s="5">
        <v>211.33075822284</v>
      </c>
      <c r="D1118" s="5">
        <v>180.291222707987</v>
      </c>
      <c r="E1118" s="5">
        <v>259.898172118573</v>
      </c>
      <c r="F1118" s="5">
        <v>211.33075822284</v>
      </c>
      <c r="G1118" s="5">
        <v>211.33075822284</v>
      </c>
      <c r="H1118" s="5">
        <v>7.74764443615003</v>
      </c>
      <c r="I1118" s="5">
        <v>7.74764443615003</v>
      </c>
      <c r="J1118" s="5">
        <v>7.74764443615003</v>
      </c>
      <c r="K1118" s="5">
        <v>1.16457933345106</v>
      </c>
      <c r="L1118" s="5">
        <v>1.16457933345106</v>
      </c>
      <c r="M1118" s="5">
        <v>1.16457933345106</v>
      </c>
      <c r="N1118" s="5">
        <v>6.58306510269897</v>
      </c>
      <c r="O1118" s="5">
        <v>6.58306510269897</v>
      </c>
      <c r="P1118" s="5">
        <v>6.58306510269897</v>
      </c>
      <c r="Q1118" s="5">
        <v>0.0</v>
      </c>
      <c r="R1118" s="5">
        <v>0.0</v>
      </c>
      <c r="S1118" s="5">
        <v>0.0</v>
      </c>
      <c r="T1118" s="5">
        <v>219.07840265899</v>
      </c>
    </row>
    <row r="1119">
      <c r="A1119" s="5">
        <v>1117.0</v>
      </c>
      <c r="B1119" s="6">
        <v>45202.0</v>
      </c>
      <c r="C1119" s="5">
        <v>211.347799196135</v>
      </c>
      <c r="D1119" s="5">
        <v>174.057453325757</v>
      </c>
      <c r="E1119" s="5">
        <v>254.156446750593</v>
      </c>
      <c r="F1119" s="5">
        <v>211.347799196135</v>
      </c>
      <c r="G1119" s="5">
        <v>211.347799196135</v>
      </c>
      <c r="H1119" s="5">
        <v>5.8361687543907</v>
      </c>
      <c r="I1119" s="5">
        <v>5.8361687543907</v>
      </c>
      <c r="J1119" s="5">
        <v>5.8361687543907</v>
      </c>
      <c r="K1119" s="5">
        <v>0.247324772137623</v>
      </c>
      <c r="L1119" s="5">
        <v>0.247324772137623</v>
      </c>
      <c r="M1119" s="5">
        <v>0.247324772137623</v>
      </c>
      <c r="N1119" s="5">
        <v>5.58884398225308</v>
      </c>
      <c r="O1119" s="5">
        <v>5.58884398225308</v>
      </c>
      <c r="P1119" s="5">
        <v>5.58884398225308</v>
      </c>
      <c r="Q1119" s="5">
        <v>0.0</v>
      </c>
      <c r="R1119" s="5">
        <v>0.0</v>
      </c>
      <c r="S1119" s="5">
        <v>0.0</v>
      </c>
      <c r="T1119" s="5">
        <v>217.183967950526</v>
      </c>
    </row>
    <row r="1120">
      <c r="A1120" s="5">
        <v>1118.0</v>
      </c>
      <c r="B1120" s="6">
        <v>45203.0</v>
      </c>
      <c r="C1120" s="5">
        <v>211.364840169431</v>
      </c>
      <c r="D1120" s="5">
        <v>177.344169000064</v>
      </c>
      <c r="E1120" s="5">
        <v>257.311840715434</v>
      </c>
      <c r="F1120" s="5">
        <v>211.364840169431</v>
      </c>
      <c r="G1120" s="5">
        <v>211.364840169431</v>
      </c>
      <c r="H1120" s="5">
        <v>5.26912192365999</v>
      </c>
      <c r="I1120" s="5">
        <v>5.26912192365999</v>
      </c>
      <c r="J1120" s="5">
        <v>5.26912192365999</v>
      </c>
      <c r="K1120" s="5">
        <v>0.608132553628914</v>
      </c>
      <c r="L1120" s="5">
        <v>0.608132553628914</v>
      </c>
      <c r="M1120" s="5">
        <v>0.608132553628914</v>
      </c>
      <c r="N1120" s="5">
        <v>4.66098937003107</v>
      </c>
      <c r="O1120" s="5">
        <v>4.66098937003107</v>
      </c>
      <c r="P1120" s="5">
        <v>4.66098937003107</v>
      </c>
      <c r="Q1120" s="5">
        <v>0.0</v>
      </c>
      <c r="R1120" s="5">
        <v>0.0</v>
      </c>
      <c r="S1120" s="5">
        <v>0.0</v>
      </c>
      <c r="T1120" s="5">
        <v>216.633962093091</v>
      </c>
    </row>
    <row r="1121">
      <c r="A1121" s="5">
        <v>1119.0</v>
      </c>
      <c r="B1121" s="6">
        <v>45204.0</v>
      </c>
      <c r="C1121" s="5">
        <v>211.381881142726</v>
      </c>
      <c r="D1121" s="5">
        <v>178.409741509879</v>
      </c>
      <c r="E1121" s="5">
        <v>253.477934041672</v>
      </c>
      <c r="F1121" s="5">
        <v>211.381881142726</v>
      </c>
      <c r="G1121" s="5">
        <v>211.381881142726</v>
      </c>
      <c r="H1121" s="5">
        <v>3.5895235328885</v>
      </c>
      <c r="I1121" s="5">
        <v>3.5895235328885</v>
      </c>
      <c r="J1121" s="5">
        <v>3.5895235328885</v>
      </c>
      <c r="K1121" s="5">
        <v>-0.225417905348647</v>
      </c>
      <c r="L1121" s="5">
        <v>-0.225417905348647</v>
      </c>
      <c r="M1121" s="5">
        <v>-0.225417905348647</v>
      </c>
      <c r="N1121" s="5">
        <v>3.81494143823715</v>
      </c>
      <c r="O1121" s="5">
        <v>3.81494143823715</v>
      </c>
      <c r="P1121" s="5">
        <v>3.81494143823715</v>
      </c>
      <c r="Q1121" s="5">
        <v>0.0</v>
      </c>
      <c r="R1121" s="5">
        <v>0.0</v>
      </c>
      <c r="S1121" s="5">
        <v>0.0</v>
      </c>
      <c r="T1121" s="5">
        <v>214.971404675614</v>
      </c>
    </row>
    <row r="1122">
      <c r="A1122" s="5">
        <v>1120.0</v>
      </c>
      <c r="B1122" s="6">
        <v>45205.0</v>
      </c>
      <c r="C1122" s="5">
        <v>211.398922116021</v>
      </c>
      <c r="D1122" s="5">
        <v>173.215353492263</v>
      </c>
      <c r="E1122" s="5">
        <v>254.20624095293</v>
      </c>
      <c r="F1122" s="5">
        <v>211.398922116021</v>
      </c>
      <c r="G1122" s="5">
        <v>211.398922116021</v>
      </c>
      <c r="H1122" s="5">
        <v>2.32474161675786</v>
      </c>
      <c r="I1122" s="5">
        <v>2.32474161675786</v>
      </c>
      <c r="J1122" s="5">
        <v>2.32474161675786</v>
      </c>
      <c r="K1122" s="5">
        <v>-0.739640081281825</v>
      </c>
      <c r="L1122" s="5">
        <v>-0.739640081281825</v>
      </c>
      <c r="M1122" s="5">
        <v>-0.739640081281825</v>
      </c>
      <c r="N1122" s="5">
        <v>3.06438169803968</v>
      </c>
      <c r="O1122" s="5">
        <v>3.06438169803968</v>
      </c>
      <c r="P1122" s="5">
        <v>3.06438169803968</v>
      </c>
      <c r="Q1122" s="5">
        <v>0.0</v>
      </c>
      <c r="R1122" s="5">
        <v>0.0</v>
      </c>
      <c r="S1122" s="5">
        <v>0.0</v>
      </c>
      <c r="T1122" s="5">
        <v>213.723663732779</v>
      </c>
    </row>
    <row r="1123">
      <c r="A1123" s="5">
        <v>1121.0</v>
      </c>
      <c r="B1123" s="6">
        <v>45208.0</v>
      </c>
      <c r="C1123" s="5">
        <v>211.450045035907</v>
      </c>
      <c r="D1123" s="5">
        <v>172.973748077639</v>
      </c>
      <c r="E1123" s="5">
        <v>253.001917376202</v>
      </c>
      <c r="F1123" s="5">
        <v>211.450045035907</v>
      </c>
      <c r="G1123" s="5">
        <v>211.450045035907</v>
      </c>
      <c r="H1123" s="5">
        <v>2.65411871532001</v>
      </c>
      <c r="I1123" s="5">
        <v>2.65411871532001</v>
      </c>
      <c r="J1123" s="5">
        <v>2.65411871532001</v>
      </c>
      <c r="K1123" s="5">
        <v>1.16457933344968</v>
      </c>
      <c r="L1123" s="5">
        <v>1.16457933344968</v>
      </c>
      <c r="M1123" s="5">
        <v>1.16457933344968</v>
      </c>
      <c r="N1123" s="5">
        <v>1.48953938187033</v>
      </c>
      <c r="O1123" s="5">
        <v>1.48953938187033</v>
      </c>
      <c r="P1123" s="5">
        <v>1.48953938187033</v>
      </c>
      <c r="Q1123" s="5">
        <v>0.0</v>
      </c>
      <c r="R1123" s="5">
        <v>0.0</v>
      </c>
      <c r="S1123" s="5">
        <v>0.0</v>
      </c>
      <c r="T1123" s="5">
        <v>214.104163751227</v>
      </c>
    </row>
    <row r="1124">
      <c r="A1124" s="5">
        <v>1122.0</v>
      </c>
      <c r="B1124" s="6">
        <v>45209.0</v>
      </c>
      <c r="C1124" s="5">
        <v>211.467086009202</v>
      </c>
      <c r="D1124" s="5">
        <v>172.273120905346</v>
      </c>
      <c r="E1124" s="5">
        <v>255.631006021704</v>
      </c>
      <c r="F1124" s="5">
        <v>211.467086009202</v>
      </c>
      <c r="G1124" s="5">
        <v>211.467086009202</v>
      </c>
      <c r="H1124" s="5">
        <v>1.45954352628794</v>
      </c>
      <c r="I1124" s="5">
        <v>1.45954352628794</v>
      </c>
      <c r="J1124" s="5">
        <v>1.45954352628794</v>
      </c>
      <c r="K1124" s="5">
        <v>0.247324772139135</v>
      </c>
      <c r="L1124" s="5">
        <v>0.247324772139135</v>
      </c>
      <c r="M1124" s="5">
        <v>0.247324772139135</v>
      </c>
      <c r="N1124" s="5">
        <v>1.2122187541488</v>
      </c>
      <c r="O1124" s="5">
        <v>1.2122187541488</v>
      </c>
      <c r="P1124" s="5">
        <v>1.2122187541488</v>
      </c>
      <c r="Q1124" s="5">
        <v>0.0</v>
      </c>
      <c r="R1124" s="5">
        <v>0.0</v>
      </c>
      <c r="S1124" s="5">
        <v>0.0</v>
      </c>
      <c r="T1124" s="5">
        <v>212.92662953549</v>
      </c>
    </row>
    <row r="1125">
      <c r="A1125" s="5">
        <v>1123.0</v>
      </c>
      <c r="B1125" s="6">
        <v>45210.0</v>
      </c>
      <c r="C1125" s="5">
        <v>211.484126982497</v>
      </c>
      <c r="D1125" s="5">
        <v>171.603013841976</v>
      </c>
      <c r="E1125" s="5">
        <v>250.497972303575</v>
      </c>
      <c r="F1125" s="5">
        <v>211.484126982497</v>
      </c>
      <c r="G1125" s="5">
        <v>211.484126982497</v>
      </c>
      <c r="H1125" s="5">
        <v>1.67101708803641</v>
      </c>
      <c r="I1125" s="5">
        <v>1.67101708803641</v>
      </c>
      <c r="J1125" s="5">
        <v>1.67101708803641</v>
      </c>
      <c r="K1125" s="5">
        <v>0.608132553625356</v>
      </c>
      <c r="L1125" s="5">
        <v>0.608132553625356</v>
      </c>
      <c r="M1125" s="5">
        <v>0.608132553625356</v>
      </c>
      <c r="N1125" s="5">
        <v>1.06288453441105</v>
      </c>
      <c r="O1125" s="5">
        <v>1.06288453441105</v>
      </c>
      <c r="P1125" s="5">
        <v>1.06288453441105</v>
      </c>
      <c r="Q1125" s="5">
        <v>0.0</v>
      </c>
      <c r="R1125" s="5">
        <v>0.0</v>
      </c>
      <c r="S1125" s="5">
        <v>0.0</v>
      </c>
      <c r="T1125" s="5">
        <v>213.155144070534</v>
      </c>
    </row>
    <row r="1126">
      <c r="A1126" s="5">
        <v>1124.0</v>
      </c>
      <c r="B1126" s="6">
        <v>45211.0</v>
      </c>
      <c r="C1126" s="5">
        <v>211.501167955793</v>
      </c>
      <c r="D1126" s="5">
        <v>172.839342850493</v>
      </c>
      <c r="E1126" s="5">
        <v>252.436997436513</v>
      </c>
      <c r="F1126" s="5">
        <v>211.501167955793</v>
      </c>
      <c r="G1126" s="5">
        <v>211.501167955793</v>
      </c>
      <c r="H1126" s="5">
        <v>0.814406040438505</v>
      </c>
      <c r="I1126" s="5">
        <v>0.814406040438505</v>
      </c>
      <c r="J1126" s="5">
        <v>0.814406040438505</v>
      </c>
      <c r="K1126" s="5">
        <v>-0.225417905351612</v>
      </c>
      <c r="L1126" s="5">
        <v>-0.225417905351612</v>
      </c>
      <c r="M1126" s="5">
        <v>-0.225417905351612</v>
      </c>
      <c r="N1126" s="5">
        <v>1.03982394579011</v>
      </c>
      <c r="O1126" s="5">
        <v>1.03982394579011</v>
      </c>
      <c r="P1126" s="5">
        <v>1.03982394579011</v>
      </c>
      <c r="Q1126" s="5">
        <v>0.0</v>
      </c>
      <c r="R1126" s="5">
        <v>0.0</v>
      </c>
      <c r="S1126" s="5">
        <v>0.0</v>
      </c>
      <c r="T1126" s="5">
        <v>212.315573996231</v>
      </c>
    </row>
    <row r="1127">
      <c r="A1127" s="5">
        <v>1125.0</v>
      </c>
      <c r="B1127" s="6">
        <v>45212.0</v>
      </c>
      <c r="C1127" s="5">
        <v>211.518208929088</v>
      </c>
      <c r="D1127" s="5">
        <v>172.494538661278</v>
      </c>
      <c r="E1127" s="5">
        <v>254.155234697573</v>
      </c>
      <c r="F1127" s="5">
        <v>211.518208929088</v>
      </c>
      <c r="G1127" s="5">
        <v>211.518208929088</v>
      </c>
      <c r="H1127" s="5">
        <v>0.398932962644349</v>
      </c>
      <c r="I1127" s="5">
        <v>0.398932962644349</v>
      </c>
      <c r="J1127" s="5">
        <v>0.398932962644349</v>
      </c>
      <c r="K1127" s="5">
        <v>-0.73964008128092</v>
      </c>
      <c r="L1127" s="5">
        <v>-0.73964008128092</v>
      </c>
      <c r="M1127" s="5">
        <v>-0.73964008128092</v>
      </c>
      <c r="N1127" s="5">
        <v>1.13857304392526</v>
      </c>
      <c r="O1127" s="5">
        <v>1.13857304392526</v>
      </c>
      <c r="P1127" s="5">
        <v>1.13857304392526</v>
      </c>
      <c r="Q1127" s="5">
        <v>0.0</v>
      </c>
      <c r="R1127" s="5">
        <v>0.0</v>
      </c>
      <c r="S1127" s="5">
        <v>0.0</v>
      </c>
      <c r="T1127" s="5">
        <v>211.917141891732</v>
      </c>
    </row>
    <row r="1128">
      <c r="A1128" s="5">
        <v>1126.0</v>
      </c>
      <c r="B1128" s="6">
        <v>45215.0</v>
      </c>
      <c r="C1128" s="5">
        <v>211.569331848974</v>
      </c>
      <c r="D1128" s="5">
        <v>173.493263491195</v>
      </c>
      <c r="E1128" s="5">
        <v>254.101579383109</v>
      </c>
      <c r="F1128" s="5">
        <v>211.569331848974</v>
      </c>
      <c r="G1128" s="5">
        <v>211.569331848974</v>
      </c>
      <c r="H1128" s="5">
        <v>3.24777083697072</v>
      </c>
      <c r="I1128" s="5">
        <v>3.24777083697072</v>
      </c>
      <c r="J1128" s="5">
        <v>3.24777083697072</v>
      </c>
      <c r="K1128" s="5">
        <v>1.16457933345001</v>
      </c>
      <c r="L1128" s="5">
        <v>1.16457933345001</v>
      </c>
      <c r="M1128" s="5">
        <v>1.16457933345001</v>
      </c>
      <c r="N1128" s="5">
        <v>2.0831915035207</v>
      </c>
      <c r="O1128" s="5">
        <v>2.0831915035207</v>
      </c>
      <c r="P1128" s="5">
        <v>2.0831915035207</v>
      </c>
      <c r="Q1128" s="5">
        <v>0.0</v>
      </c>
      <c r="R1128" s="5">
        <v>0.0</v>
      </c>
      <c r="S1128" s="5">
        <v>0.0</v>
      </c>
      <c r="T1128" s="5">
        <v>214.817102685944</v>
      </c>
    </row>
    <row r="1129">
      <c r="A1129" s="5">
        <v>1127.0</v>
      </c>
      <c r="B1129" s="6">
        <v>45216.0</v>
      </c>
      <c r="C1129" s="5">
        <v>211.586372822269</v>
      </c>
      <c r="D1129" s="5">
        <v>173.861961517826</v>
      </c>
      <c r="E1129" s="5">
        <v>253.3190947765</v>
      </c>
      <c r="F1129" s="5">
        <v>211.586372822269</v>
      </c>
      <c r="G1129" s="5">
        <v>211.586372822269</v>
      </c>
      <c r="H1129" s="5">
        <v>2.82315509086946</v>
      </c>
      <c r="I1129" s="5">
        <v>2.82315509086946</v>
      </c>
      <c r="J1129" s="5">
        <v>2.82315509086946</v>
      </c>
      <c r="K1129" s="5">
        <v>0.2473247721378</v>
      </c>
      <c r="L1129" s="5">
        <v>0.2473247721378</v>
      </c>
      <c r="M1129" s="5">
        <v>0.2473247721378</v>
      </c>
      <c r="N1129" s="5">
        <v>2.57583031873166</v>
      </c>
      <c r="O1129" s="5">
        <v>2.57583031873166</v>
      </c>
      <c r="P1129" s="5">
        <v>2.57583031873166</v>
      </c>
      <c r="Q1129" s="5">
        <v>0.0</v>
      </c>
      <c r="R1129" s="5">
        <v>0.0</v>
      </c>
      <c r="S1129" s="5">
        <v>0.0</v>
      </c>
      <c r="T1129" s="5">
        <v>214.409527913138</v>
      </c>
    </row>
    <row r="1130">
      <c r="A1130" s="5">
        <v>1128.0</v>
      </c>
      <c r="B1130" s="6">
        <v>45217.0</v>
      </c>
      <c r="C1130" s="5">
        <v>211.603413795564</v>
      </c>
      <c r="D1130" s="5">
        <v>171.851052963354</v>
      </c>
      <c r="E1130" s="5">
        <v>253.577751028562</v>
      </c>
      <c r="F1130" s="5">
        <v>211.603413795564</v>
      </c>
      <c r="G1130" s="5">
        <v>211.603413795564</v>
      </c>
      <c r="H1130" s="5">
        <v>3.74201735447663</v>
      </c>
      <c r="I1130" s="5">
        <v>3.74201735447663</v>
      </c>
      <c r="J1130" s="5">
        <v>3.74201735447663</v>
      </c>
      <c r="K1130" s="5">
        <v>0.608132553627135</v>
      </c>
      <c r="L1130" s="5">
        <v>0.608132553627135</v>
      </c>
      <c r="M1130" s="5">
        <v>0.608132553627135</v>
      </c>
      <c r="N1130" s="5">
        <v>3.1338848008495</v>
      </c>
      <c r="O1130" s="5">
        <v>3.1338848008495</v>
      </c>
      <c r="P1130" s="5">
        <v>3.1338848008495</v>
      </c>
      <c r="Q1130" s="5">
        <v>0.0</v>
      </c>
      <c r="R1130" s="5">
        <v>0.0</v>
      </c>
      <c r="S1130" s="5">
        <v>0.0</v>
      </c>
      <c r="T1130" s="5">
        <v>215.345431150041</v>
      </c>
    </row>
    <row r="1131">
      <c r="A1131" s="5">
        <v>1129.0</v>
      </c>
      <c r="B1131" s="6">
        <v>45218.0</v>
      </c>
      <c r="C1131" s="5">
        <v>211.620454768859</v>
      </c>
      <c r="D1131" s="5">
        <v>175.689526016973</v>
      </c>
      <c r="E1131" s="5">
        <v>255.32095324923</v>
      </c>
      <c r="F1131" s="5">
        <v>211.620454768859</v>
      </c>
      <c r="G1131" s="5">
        <v>211.620454768859</v>
      </c>
      <c r="H1131" s="5">
        <v>3.51609634305025</v>
      </c>
      <c r="I1131" s="5">
        <v>3.51609634305025</v>
      </c>
      <c r="J1131" s="5">
        <v>3.51609634305025</v>
      </c>
      <c r="K1131" s="5">
        <v>-0.225417905345879</v>
      </c>
      <c r="L1131" s="5">
        <v>-0.225417905345879</v>
      </c>
      <c r="M1131" s="5">
        <v>-0.225417905345879</v>
      </c>
      <c r="N1131" s="5">
        <v>3.74151424839613</v>
      </c>
      <c r="O1131" s="5">
        <v>3.74151424839613</v>
      </c>
      <c r="P1131" s="5">
        <v>3.74151424839613</v>
      </c>
      <c r="Q1131" s="5">
        <v>0.0</v>
      </c>
      <c r="R1131" s="5">
        <v>0.0</v>
      </c>
      <c r="S1131" s="5">
        <v>0.0</v>
      </c>
      <c r="T1131" s="5">
        <v>215.13655111191</v>
      </c>
    </row>
    <row r="1132">
      <c r="A1132" s="5">
        <v>1130.0</v>
      </c>
      <c r="B1132" s="6">
        <v>45219.0</v>
      </c>
      <c r="C1132" s="5">
        <v>211.637495742155</v>
      </c>
      <c r="D1132" s="5">
        <v>173.108835722221</v>
      </c>
      <c r="E1132" s="5">
        <v>253.830488924152</v>
      </c>
      <c r="F1132" s="5">
        <v>211.637495742155</v>
      </c>
      <c r="G1132" s="5">
        <v>211.637495742155</v>
      </c>
      <c r="H1132" s="5">
        <v>3.6426654902568</v>
      </c>
      <c r="I1132" s="5">
        <v>3.6426654902568</v>
      </c>
      <c r="J1132" s="5">
        <v>3.6426654902568</v>
      </c>
      <c r="K1132" s="5">
        <v>-0.739640081278643</v>
      </c>
      <c r="L1132" s="5">
        <v>-0.739640081278643</v>
      </c>
      <c r="M1132" s="5">
        <v>-0.739640081278643</v>
      </c>
      <c r="N1132" s="5">
        <v>4.38230557153545</v>
      </c>
      <c r="O1132" s="5">
        <v>4.38230557153545</v>
      </c>
      <c r="P1132" s="5">
        <v>4.38230557153545</v>
      </c>
      <c r="Q1132" s="5">
        <v>0.0</v>
      </c>
      <c r="R1132" s="5">
        <v>0.0</v>
      </c>
      <c r="S1132" s="5">
        <v>0.0</v>
      </c>
      <c r="T1132" s="5">
        <v>215.280161232412</v>
      </c>
    </row>
    <row r="1133">
      <c r="A1133" s="5">
        <v>1131.0</v>
      </c>
      <c r="B1133" s="6">
        <v>45222.0</v>
      </c>
      <c r="C1133" s="5">
        <v>211.688618662041</v>
      </c>
      <c r="D1133" s="5">
        <v>177.763477546612</v>
      </c>
      <c r="E1133" s="5">
        <v>260.69054168175</v>
      </c>
      <c r="F1133" s="5">
        <v>211.688618662041</v>
      </c>
      <c r="G1133" s="5">
        <v>211.688618662041</v>
      </c>
      <c r="H1133" s="5">
        <v>7.50498118322155</v>
      </c>
      <c r="I1133" s="5">
        <v>7.50498118322155</v>
      </c>
      <c r="J1133" s="5">
        <v>7.50498118322155</v>
      </c>
      <c r="K1133" s="5">
        <v>1.16457933345035</v>
      </c>
      <c r="L1133" s="5">
        <v>1.16457933345035</v>
      </c>
      <c r="M1133" s="5">
        <v>1.16457933345035</v>
      </c>
      <c r="N1133" s="5">
        <v>6.3404018497712</v>
      </c>
      <c r="O1133" s="5">
        <v>6.3404018497712</v>
      </c>
      <c r="P1133" s="5">
        <v>6.3404018497712</v>
      </c>
      <c r="Q1133" s="5">
        <v>0.0</v>
      </c>
      <c r="R1133" s="5">
        <v>0.0</v>
      </c>
      <c r="S1133" s="5">
        <v>0.0</v>
      </c>
      <c r="T1133" s="5">
        <v>219.193599845262</v>
      </c>
    </row>
    <row r="1134">
      <c r="A1134" s="5">
        <v>1132.0</v>
      </c>
      <c r="B1134" s="6">
        <v>45223.0</v>
      </c>
      <c r="C1134" s="5">
        <v>211.705659635336</v>
      </c>
      <c r="D1134" s="5">
        <v>178.623917583191</v>
      </c>
      <c r="E1134" s="5">
        <v>259.837494015995</v>
      </c>
      <c r="F1134" s="5">
        <v>211.705659635336</v>
      </c>
      <c r="G1134" s="5">
        <v>211.705659635336</v>
      </c>
      <c r="H1134" s="5">
        <v>7.20130078675417</v>
      </c>
      <c r="I1134" s="5">
        <v>7.20130078675417</v>
      </c>
      <c r="J1134" s="5">
        <v>7.20130078675417</v>
      </c>
      <c r="K1134" s="5">
        <v>0.247324772139186</v>
      </c>
      <c r="L1134" s="5">
        <v>0.247324772139186</v>
      </c>
      <c r="M1134" s="5">
        <v>0.247324772139186</v>
      </c>
      <c r="N1134" s="5">
        <v>6.95397601461498</v>
      </c>
      <c r="O1134" s="5">
        <v>6.95397601461498</v>
      </c>
      <c r="P1134" s="5">
        <v>6.95397601461498</v>
      </c>
      <c r="Q1134" s="5">
        <v>0.0</v>
      </c>
      <c r="R1134" s="5">
        <v>0.0</v>
      </c>
      <c r="S1134" s="5">
        <v>0.0</v>
      </c>
      <c r="T1134" s="5">
        <v>218.90696042209</v>
      </c>
    </row>
    <row r="1135">
      <c r="A1135" s="5">
        <v>1133.0</v>
      </c>
      <c r="B1135" s="6">
        <v>45224.0</v>
      </c>
      <c r="C1135" s="5">
        <v>211.722700608631</v>
      </c>
      <c r="D1135" s="5">
        <v>180.83018035568</v>
      </c>
      <c r="E1135" s="5">
        <v>258.501257640946</v>
      </c>
      <c r="F1135" s="5">
        <v>211.722700608631</v>
      </c>
      <c r="G1135" s="5">
        <v>211.722700608631</v>
      </c>
      <c r="H1135" s="5">
        <v>8.13373375218206</v>
      </c>
      <c r="I1135" s="5">
        <v>8.13373375218206</v>
      </c>
      <c r="J1135" s="5">
        <v>8.13373375218206</v>
      </c>
      <c r="K1135" s="5">
        <v>0.608132553628914</v>
      </c>
      <c r="L1135" s="5">
        <v>0.608132553628914</v>
      </c>
      <c r="M1135" s="5">
        <v>0.608132553628914</v>
      </c>
      <c r="N1135" s="5">
        <v>7.52560119855314</v>
      </c>
      <c r="O1135" s="5">
        <v>7.52560119855314</v>
      </c>
      <c r="P1135" s="5">
        <v>7.52560119855314</v>
      </c>
      <c r="Q1135" s="5">
        <v>0.0</v>
      </c>
      <c r="R1135" s="5">
        <v>0.0</v>
      </c>
      <c r="S1135" s="5">
        <v>0.0</v>
      </c>
      <c r="T1135" s="5">
        <v>219.856434360813</v>
      </c>
    </row>
    <row r="1136">
      <c r="A1136" s="5">
        <v>1134.0</v>
      </c>
      <c r="B1136" s="6">
        <v>45225.0</v>
      </c>
      <c r="C1136" s="5">
        <v>211.739741581926</v>
      </c>
      <c r="D1136" s="5">
        <v>180.701167737485</v>
      </c>
      <c r="E1136" s="5">
        <v>257.417062801329</v>
      </c>
      <c r="F1136" s="5">
        <v>211.739741581926</v>
      </c>
      <c r="G1136" s="5">
        <v>211.739741581926</v>
      </c>
      <c r="H1136" s="5">
        <v>7.81906033265655</v>
      </c>
      <c r="I1136" s="5">
        <v>7.81906033265655</v>
      </c>
      <c r="J1136" s="5">
        <v>7.81906033265655</v>
      </c>
      <c r="K1136" s="5">
        <v>-0.225417905348844</v>
      </c>
      <c r="L1136" s="5">
        <v>-0.225417905348844</v>
      </c>
      <c r="M1136" s="5">
        <v>-0.225417905348844</v>
      </c>
      <c r="N1136" s="5">
        <v>8.0444782380054</v>
      </c>
      <c r="O1136" s="5">
        <v>8.0444782380054</v>
      </c>
      <c r="P1136" s="5">
        <v>8.0444782380054</v>
      </c>
      <c r="Q1136" s="5">
        <v>0.0</v>
      </c>
      <c r="R1136" s="5">
        <v>0.0</v>
      </c>
      <c r="S1136" s="5">
        <v>0.0</v>
      </c>
      <c r="T1136" s="5">
        <v>219.558801914583</v>
      </c>
    </row>
    <row r="1137">
      <c r="A1137" s="5">
        <v>1135.0</v>
      </c>
      <c r="B1137" s="6">
        <v>45226.0</v>
      </c>
      <c r="C1137" s="5">
        <v>211.756782555222</v>
      </c>
      <c r="D1137" s="5">
        <v>178.871771951854</v>
      </c>
      <c r="E1137" s="5">
        <v>262.56135197867</v>
      </c>
      <c r="F1137" s="5">
        <v>211.756782555222</v>
      </c>
      <c r="G1137" s="5">
        <v>211.756782555222</v>
      </c>
      <c r="H1137" s="5">
        <v>7.76233017898705</v>
      </c>
      <c r="I1137" s="5">
        <v>7.76233017898705</v>
      </c>
      <c r="J1137" s="5">
        <v>7.76233017898705</v>
      </c>
      <c r="K1137" s="5">
        <v>-0.739640081279798</v>
      </c>
      <c r="L1137" s="5">
        <v>-0.739640081279798</v>
      </c>
      <c r="M1137" s="5">
        <v>-0.739640081279798</v>
      </c>
      <c r="N1137" s="5">
        <v>8.50197026026685</v>
      </c>
      <c r="O1137" s="5">
        <v>8.50197026026685</v>
      </c>
      <c r="P1137" s="5">
        <v>8.50197026026685</v>
      </c>
      <c r="Q1137" s="5">
        <v>0.0</v>
      </c>
      <c r="R1137" s="5">
        <v>0.0</v>
      </c>
      <c r="S1137" s="5">
        <v>0.0</v>
      </c>
      <c r="T1137" s="5">
        <v>219.519112734209</v>
      </c>
    </row>
    <row r="1138">
      <c r="A1138" s="5">
        <v>1136.0</v>
      </c>
      <c r="B1138" s="6">
        <v>45229.0</v>
      </c>
      <c r="C1138" s="5">
        <v>211.807905475107</v>
      </c>
      <c r="D1138" s="5">
        <v>182.558504714808</v>
      </c>
      <c r="E1138" s="5">
        <v>264.477581485953</v>
      </c>
      <c r="F1138" s="5">
        <v>211.807905475107</v>
      </c>
      <c r="G1138" s="5">
        <v>211.807905475107</v>
      </c>
      <c r="H1138" s="5">
        <v>10.6206269865675</v>
      </c>
      <c r="I1138" s="5">
        <v>10.6206269865675</v>
      </c>
      <c r="J1138" s="5">
        <v>10.6206269865675</v>
      </c>
      <c r="K1138" s="5">
        <v>1.16457933345068</v>
      </c>
      <c r="L1138" s="5">
        <v>1.16457933345068</v>
      </c>
      <c r="M1138" s="5">
        <v>1.16457933345068</v>
      </c>
      <c r="N1138" s="5">
        <v>9.45604765311682</v>
      </c>
      <c r="O1138" s="5">
        <v>9.45604765311682</v>
      </c>
      <c r="P1138" s="5">
        <v>9.45604765311682</v>
      </c>
      <c r="Q1138" s="5">
        <v>0.0</v>
      </c>
      <c r="R1138" s="5">
        <v>0.0</v>
      </c>
      <c r="S1138" s="5">
        <v>0.0</v>
      </c>
      <c r="T1138" s="5">
        <v>222.428532461675</v>
      </c>
    </row>
    <row r="1139">
      <c r="A1139" s="5">
        <v>1137.0</v>
      </c>
      <c r="B1139" s="6">
        <v>45230.0</v>
      </c>
      <c r="C1139" s="5">
        <v>211.824946448403</v>
      </c>
      <c r="D1139" s="5">
        <v>180.650300988114</v>
      </c>
      <c r="E1139" s="5">
        <v>262.262284031694</v>
      </c>
      <c r="F1139" s="5">
        <v>211.824946448403</v>
      </c>
      <c r="G1139" s="5">
        <v>211.824946448403</v>
      </c>
      <c r="H1139" s="5">
        <v>9.87792839718817</v>
      </c>
      <c r="I1139" s="5">
        <v>9.87792839718817</v>
      </c>
      <c r="J1139" s="5">
        <v>9.87792839718817</v>
      </c>
      <c r="K1139" s="5">
        <v>0.247324772137851</v>
      </c>
      <c r="L1139" s="5">
        <v>0.247324772137851</v>
      </c>
      <c r="M1139" s="5">
        <v>0.247324772137851</v>
      </c>
      <c r="N1139" s="5">
        <v>9.63060362505032</v>
      </c>
      <c r="O1139" s="5">
        <v>9.63060362505032</v>
      </c>
      <c r="P1139" s="5">
        <v>9.63060362505032</v>
      </c>
      <c r="Q1139" s="5">
        <v>0.0</v>
      </c>
      <c r="R1139" s="5">
        <v>0.0</v>
      </c>
      <c r="S1139" s="5">
        <v>0.0</v>
      </c>
      <c r="T1139" s="5">
        <v>221.702874845591</v>
      </c>
    </row>
    <row r="1140">
      <c r="A1140" s="5">
        <v>1138.0</v>
      </c>
      <c r="B1140" s="6">
        <v>45231.0</v>
      </c>
      <c r="C1140" s="5">
        <v>211.841987421698</v>
      </c>
      <c r="D1140" s="5">
        <v>181.257462223605</v>
      </c>
      <c r="E1140" s="5">
        <v>262.703520949809</v>
      </c>
      <c r="F1140" s="5">
        <v>211.841987421698</v>
      </c>
      <c r="G1140" s="5">
        <v>211.841987421698</v>
      </c>
      <c r="H1140" s="5">
        <v>10.3458460369933</v>
      </c>
      <c r="I1140" s="5">
        <v>10.3458460369933</v>
      </c>
      <c r="J1140" s="5">
        <v>10.3458460369933</v>
      </c>
      <c r="K1140" s="5">
        <v>0.608132553625355</v>
      </c>
      <c r="L1140" s="5">
        <v>0.608132553625355</v>
      </c>
      <c r="M1140" s="5">
        <v>0.608132553625355</v>
      </c>
      <c r="N1140" s="5">
        <v>9.73771348336803</v>
      </c>
      <c r="O1140" s="5">
        <v>9.73771348336803</v>
      </c>
      <c r="P1140" s="5">
        <v>9.73771348336803</v>
      </c>
      <c r="Q1140" s="5">
        <v>0.0</v>
      </c>
      <c r="R1140" s="5">
        <v>0.0</v>
      </c>
      <c r="S1140" s="5">
        <v>0.0</v>
      </c>
      <c r="T1140" s="5">
        <v>222.187833458691</v>
      </c>
    </row>
    <row r="1141">
      <c r="A1141" s="5">
        <v>1139.0</v>
      </c>
      <c r="B1141" s="6">
        <v>45232.0</v>
      </c>
      <c r="C1141" s="5">
        <v>211.859028394993</v>
      </c>
      <c r="D1141" s="5">
        <v>178.853645981755</v>
      </c>
      <c r="E1141" s="5">
        <v>260.356678392982</v>
      </c>
      <c r="F1141" s="5">
        <v>211.859028394993</v>
      </c>
      <c r="G1141" s="5">
        <v>211.859028394993</v>
      </c>
      <c r="H1141" s="5">
        <v>9.55806199552477</v>
      </c>
      <c r="I1141" s="5">
        <v>9.55806199552477</v>
      </c>
      <c r="J1141" s="5">
        <v>9.55806199552477</v>
      </c>
      <c r="K1141" s="5">
        <v>-0.225417905345037</v>
      </c>
      <c r="L1141" s="5">
        <v>-0.225417905345037</v>
      </c>
      <c r="M1141" s="5">
        <v>-0.225417905345037</v>
      </c>
      <c r="N1141" s="5">
        <v>9.7834799008698</v>
      </c>
      <c r="O1141" s="5">
        <v>9.7834799008698</v>
      </c>
      <c r="P1141" s="5">
        <v>9.7834799008698</v>
      </c>
      <c r="Q1141" s="5">
        <v>0.0</v>
      </c>
      <c r="R1141" s="5">
        <v>0.0</v>
      </c>
      <c r="S1141" s="5">
        <v>0.0</v>
      </c>
      <c r="T1141" s="5">
        <v>221.417090390518</v>
      </c>
    </row>
    <row r="1142">
      <c r="A1142" s="5">
        <v>1140.0</v>
      </c>
      <c r="B1142" s="6">
        <v>45233.0</v>
      </c>
      <c r="C1142" s="5">
        <v>211.876069368288</v>
      </c>
      <c r="D1142" s="5">
        <v>181.330319430302</v>
      </c>
      <c r="E1142" s="5">
        <v>262.343187115804</v>
      </c>
      <c r="F1142" s="5">
        <v>211.876069368288</v>
      </c>
      <c r="G1142" s="5">
        <v>211.876069368288</v>
      </c>
      <c r="H1142" s="5">
        <v>9.03642179913645</v>
      </c>
      <c r="I1142" s="5">
        <v>9.03642179913645</v>
      </c>
      <c r="J1142" s="5">
        <v>9.03642179913645</v>
      </c>
      <c r="K1142" s="5">
        <v>-0.739640081280954</v>
      </c>
      <c r="L1142" s="5">
        <v>-0.739640081280954</v>
      </c>
      <c r="M1142" s="5">
        <v>-0.739640081280954</v>
      </c>
      <c r="N1142" s="5">
        <v>9.7760618804174</v>
      </c>
      <c r="O1142" s="5">
        <v>9.7760618804174</v>
      </c>
      <c r="P1142" s="5">
        <v>9.7760618804174</v>
      </c>
      <c r="Q1142" s="5">
        <v>0.0</v>
      </c>
      <c r="R1142" s="5">
        <v>0.0</v>
      </c>
      <c r="S1142" s="5">
        <v>0.0</v>
      </c>
      <c r="T1142" s="5">
        <v>220.912491167425</v>
      </c>
    </row>
    <row r="1143">
      <c r="A1143" s="5">
        <v>1141.0</v>
      </c>
      <c r="B1143" s="6">
        <v>45236.0</v>
      </c>
      <c r="C1143" s="5">
        <v>211.927192288174</v>
      </c>
      <c r="D1143" s="5">
        <v>181.145118998391</v>
      </c>
      <c r="E1143" s="5">
        <v>261.656505812</v>
      </c>
      <c r="F1143" s="5">
        <v>211.927192288174</v>
      </c>
      <c r="G1143" s="5">
        <v>211.927192288174</v>
      </c>
      <c r="H1143" s="5">
        <v>10.7051172484738</v>
      </c>
      <c r="I1143" s="5">
        <v>10.7051172484738</v>
      </c>
      <c r="J1143" s="5">
        <v>10.7051172484738</v>
      </c>
      <c r="K1143" s="5">
        <v>1.16457933345092</v>
      </c>
      <c r="L1143" s="5">
        <v>1.16457933345092</v>
      </c>
      <c r="M1143" s="5">
        <v>1.16457933345092</v>
      </c>
      <c r="N1143" s="5">
        <v>9.54053791502296</v>
      </c>
      <c r="O1143" s="5">
        <v>9.54053791502296</v>
      </c>
      <c r="P1143" s="5">
        <v>9.54053791502296</v>
      </c>
      <c r="Q1143" s="5">
        <v>0.0</v>
      </c>
      <c r="R1143" s="5">
        <v>0.0</v>
      </c>
      <c r="S1143" s="5">
        <v>0.0</v>
      </c>
      <c r="T1143" s="5">
        <v>222.632309536648</v>
      </c>
    </row>
    <row r="1144">
      <c r="A1144" s="5">
        <v>1142.0</v>
      </c>
      <c r="B1144" s="6">
        <v>45237.0</v>
      </c>
      <c r="C1144" s="5">
        <v>211.94423326147</v>
      </c>
      <c r="D1144" s="5">
        <v>181.814005933388</v>
      </c>
      <c r="E1144" s="5">
        <v>262.339222965907</v>
      </c>
      <c r="F1144" s="5">
        <v>211.94423326147</v>
      </c>
      <c r="G1144" s="5">
        <v>211.94423326147</v>
      </c>
      <c r="H1144" s="5">
        <v>9.67898696430169</v>
      </c>
      <c r="I1144" s="5">
        <v>9.67898696430169</v>
      </c>
      <c r="J1144" s="5">
        <v>9.67898696430169</v>
      </c>
      <c r="K1144" s="5">
        <v>0.24732477213794</v>
      </c>
      <c r="L1144" s="5">
        <v>0.24732477213794</v>
      </c>
      <c r="M1144" s="5">
        <v>0.24732477213794</v>
      </c>
      <c r="N1144" s="5">
        <v>9.43166219216375</v>
      </c>
      <c r="O1144" s="5">
        <v>9.43166219216375</v>
      </c>
      <c r="P1144" s="5">
        <v>9.43166219216375</v>
      </c>
      <c r="Q1144" s="5">
        <v>0.0</v>
      </c>
      <c r="R1144" s="5">
        <v>0.0</v>
      </c>
      <c r="S1144" s="5">
        <v>0.0</v>
      </c>
      <c r="T1144" s="5">
        <v>221.623220225771</v>
      </c>
    </row>
    <row r="1145">
      <c r="A1145" s="5">
        <v>1143.0</v>
      </c>
      <c r="B1145" s="6">
        <v>45238.0</v>
      </c>
      <c r="C1145" s="5">
        <v>211.961274234765</v>
      </c>
      <c r="D1145" s="5">
        <v>182.38389235951</v>
      </c>
      <c r="E1145" s="5">
        <v>265.795509243617</v>
      </c>
      <c r="F1145" s="5">
        <v>211.961274234765</v>
      </c>
      <c r="G1145" s="5">
        <v>211.961274234765</v>
      </c>
      <c r="H1145" s="5">
        <v>9.93734662570899</v>
      </c>
      <c r="I1145" s="5">
        <v>9.93734662570899</v>
      </c>
      <c r="J1145" s="5">
        <v>9.93734662570899</v>
      </c>
      <c r="K1145" s="5">
        <v>0.608132553627134</v>
      </c>
      <c r="L1145" s="5">
        <v>0.608132553627134</v>
      </c>
      <c r="M1145" s="5">
        <v>0.608132553627134</v>
      </c>
      <c r="N1145" s="5">
        <v>9.32921407208186</v>
      </c>
      <c r="O1145" s="5">
        <v>9.32921407208186</v>
      </c>
      <c r="P1145" s="5">
        <v>9.32921407208186</v>
      </c>
      <c r="Q1145" s="5">
        <v>0.0</v>
      </c>
      <c r="R1145" s="5">
        <v>0.0</v>
      </c>
      <c r="S1145" s="5">
        <v>0.0</v>
      </c>
      <c r="T1145" s="5">
        <v>221.898620860474</v>
      </c>
    </row>
    <row r="1146">
      <c r="A1146" s="5">
        <v>1144.0</v>
      </c>
      <c r="B1146" s="6">
        <v>45239.0</v>
      </c>
      <c r="C1146" s="5">
        <v>211.97831520806</v>
      </c>
      <c r="D1146" s="5">
        <v>179.140317107213</v>
      </c>
      <c r="E1146" s="5">
        <v>260.902830170037</v>
      </c>
      <c r="F1146" s="5">
        <v>211.97831520806</v>
      </c>
      <c r="G1146" s="5">
        <v>211.97831520806</v>
      </c>
      <c r="H1146" s="5">
        <v>9.02056411822295</v>
      </c>
      <c r="I1146" s="5">
        <v>9.02056411822295</v>
      </c>
      <c r="J1146" s="5">
        <v>9.02056411822295</v>
      </c>
      <c r="K1146" s="5">
        <v>-0.225417905346076</v>
      </c>
      <c r="L1146" s="5">
        <v>-0.225417905346076</v>
      </c>
      <c r="M1146" s="5">
        <v>-0.225417905346076</v>
      </c>
      <c r="N1146" s="5">
        <v>9.24598202356902</v>
      </c>
      <c r="O1146" s="5">
        <v>9.24598202356902</v>
      </c>
      <c r="P1146" s="5">
        <v>9.24598202356902</v>
      </c>
      <c r="Q1146" s="5">
        <v>0.0</v>
      </c>
      <c r="R1146" s="5">
        <v>0.0</v>
      </c>
      <c r="S1146" s="5">
        <v>0.0</v>
      </c>
      <c r="T1146" s="5">
        <v>220.998879326283</v>
      </c>
    </row>
    <row r="1147">
      <c r="A1147" s="5">
        <v>1145.0</v>
      </c>
      <c r="B1147" s="6">
        <v>45240.0</v>
      </c>
      <c r="C1147" s="5">
        <v>211.995356181355</v>
      </c>
      <c r="D1147" s="5">
        <v>176.664662406531</v>
      </c>
      <c r="E1147" s="5">
        <v>260.807956418066</v>
      </c>
      <c r="F1147" s="5">
        <v>211.995356181355</v>
      </c>
      <c r="G1147" s="5">
        <v>211.995356181355</v>
      </c>
      <c r="H1147" s="5">
        <v>8.45437772534476</v>
      </c>
      <c r="I1147" s="5">
        <v>8.45437772534476</v>
      </c>
      <c r="J1147" s="5">
        <v>8.45437772534476</v>
      </c>
      <c r="K1147" s="5">
        <v>-0.73964008128211</v>
      </c>
      <c r="L1147" s="5">
        <v>-0.73964008128211</v>
      </c>
      <c r="M1147" s="5">
        <v>-0.73964008128211</v>
      </c>
      <c r="N1147" s="5">
        <v>9.19401780662687</v>
      </c>
      <c r="O1147" s="5">
        <v>9.19401780662687</v>
      </c>
      <c r="P1147" s="5">
        <v>9.19401780662687</v>
      </c>
      <c r="Q1147" s="5">
        <v>0.0</v>
      </c>
      <c r="R1147" s="5">
        <v>0.0</v>
      </c>
      <c r="S1147" s="5">
        <v>0.0</v>
      </c>
      <c r="T1147" s="5">
        <v>220.4497339067</v>
      </c>
    </row>
    <row r="1148">
      <c r="A1148" s="5">
        <v>1146.0</v>
      </c>
      <c r="B1148" s="6">
        <v>45243.0</v>
      </c>
      <c r="C1148" s="5">
        <v>212.046479101241</v>
      </c>
      <c r="D1148" s="5">
        <v>181.594421908999</v>
      </c>
      <c r="E1148" s="5">
        <v>264.174305975785</v>
      </c>
      <c r="F1148" s="5">
        <v>212.046479101241</v>
      </c>
      <c r="G1148" s="5">
        <v>212.046479101241</v>
      </c>
      <c r="H1148" s="5">
        <v>10.4912674025996</v>
      </c>
      <c r="I1148" s="5">
        <v>10.4912674025996</v>
      </c>
      <c r="J1148" s="5">
        <v>10.4912674025996</v>
      </c>
      <c r="K1148" s="5">
        <v>1.16457933345136</v>
      </c>
      <c r="L1148" s="5">
        <v>1.16457933345136</v>
      </c>
      <c r="M1148" s="5">
        <v>1.16457933345136</v>
      </c>
      <c r="N1148" s="5">
        <v>9.32668806914825</v>
      </c>
      <c r="O1148" s="5">
        <v>9.32668806914825</v>
      </c>
      <c r="P1148" s="5">
        <v>9.32668806914825</v>
      </c>
      <c r="Q1148" s="5">
        <v>0.0</v>
      </c>
      <c r="R1148" s="5">
        <v>0.0</v>
      </c>
      <c r="S1148" s="5">
        <v>0.0</v>
      </c>
      <c r="T1148" s="5">
        <v>222.537746503841</v>
      </c>
    </row>
    <row r="1149">
      <c r="A1149" s="5">
        <v>1147.0</v>
      </c>
      <c r="B1149" s="6">
        <v>45244.0</v>
      </c>
      <c r="C1149" s="5">
        <v>212.063520074536</v>
      </c>
      <c r="D1149" s="5">
        <v>183.764989981957</v>
      </c>
      <c r="E1149" s="5">
        <v>259.520855777759</v>
      </c>
      <c r="F1149" s="5">
        <v>212.063520074536</v>
      </c>
      <c r="G1149" s="5">
        <v>212.063520074536</v>
      </c>
      <c r="H1149" s="5">
        <v>9.73910226812309</v>
      </c>
      <c r="I1149" s="5">
        <v>9.73910226812309</v>
      </c>
      <c r="J1149" s="5">
        <v>9.73910226812309</v>
      </c>
      <c r="K1149" s="5">
        <v>0.247324772138028</v>
      </c>
      <c r="L1149" s="5">
        <v>0.247324772138028</v>
      </c>
      <c r="M1149" s="5">
        <v>0.247324772138028</v>
      </c>
      <c r="N1149" s="5">
        <v>9.49177749598507</v>
      </c>
      <c r="O1149" s="5">
        <v>9.49177749598507</v>
      </c>
      <c r="P1149" s="5">
        <v>9.49177749598507</v>
      </c>
      <c r="Q1149" s="5">
        <v>0.0</v>
      </c>
      <c r="R1149" s="5">
        <v>0.0</v>
      </c>
      <c r="S1149" s="5">
        <v>0.0</v>
      </c>
      <c r="T1149" s="5">
        <v>221.80262234266</v>
      </c>
    </row>
    <row r="1150">
      <c r="A1150" s="5">
        <v>1148.0</v>
      </c>
      <c r="B1150" s="6">
        <v>45245.0</v>
      </c>
      <c r="C1150" s="5">
        <v>212.080561047832</v>
      </c>
      <c r="D1150" s="5">
        <v>180.906043844266</v>
      </c>
      <c r="E1150" s="5">
        <v>264.110572033114</v>
      </c>
      <c r="F1150" s="5">
        <v>212.080561047832</v>
      </c>
      <c r="G1150" s="5">
        <v>212.080561047832</v>
      </c>
      <c r="H1150" s="5">
        <v>10.3323150921522</v>
      </c>
      <c r="I1150" s="5">
        <v>10.3323150921522</v>
      </c>
      <c r="J1150" s="5">
        <v>10.3323150921522</v>
      </c>
      <c r="K1150" s="5">
        <v>0.608132553627799</v>
      </c>
      <c r="L1150" s="5">
        <v>0.608132553627799</v>
      </c>
      <c r="M1150" s="5">
        <v>0.608132553627799</v>
      </c>
      <c r="N1150" s="5">
        <v>9.72418253852447</v>
      </c>
      <c r="O1150" s="5">
        <v>9.72418253852447</v>
      </c>
      <c r="P1150" s="5">
        <v>9.72418253852447</v>
      </c>
      <c r="Q1150" s="5">
        <v>0.0</v>
      </c>
      <c r="R1150" s="5">
        <v>0.0</v>
      </c>
      <c r="S1150" s="5">
        <v>0.0</v>
      </c>
      <c r="T1150" s="5">
        <v>222.412876139984</v>
      </c>
    </row>
    <row r="1151">
      <c r="A1151" s="5">
        <v>1149.0</v>
      </c>
      <c r="B1151" s="6">
        <v>45246.0</v>
      </c>
      <c r="C1151" s="5">
        <v>212.097602021127</v>
      </c>
      <c r="D1151" s="5">
        <v>182.640530081763</v>
      </c>
      <c r="E1151" s="5">
        <v>262.614345010857</v>
      </c>
      <c r="F1151" s="5">
        <v>212.097602021127</v>
      </c>
      <c r="G1151" s="5">
        <v>212.097602021127</v>
      </c>
      <c r="H1151" s="5">
        <v>9.7989448695376</v>
      </c>
      <c r="I1151" s="5">
        <v>9.7989448695376</v>
      </c>
      <c r="J1151" s="5">
        <v>9.7989448695376</v>
      </c>
      <c r="K1151" s="5">
        <v>-0.225417905345655</v>
      </c>
      <c r="L1151" s="5">
        <v>-0.225417905345655</v>
      </c>
      <c r="M1151" s="5">
        <v>-0.225417905345655</v>
      </c>
      <c r="N1151" s="5">
        <v>10.0243627748832</v>
      </c>
      <c r="O1151" s="5">
        <v>10.0243627748832</v>
      </c>
      <c r="P1151" s="5">
        <v>10.0243627748832</v>
      </c>
      <c r="Q1151" s="5">
        <v>0.0</v>
      </c>
      <c r="R1151" s="5">
        <v>0.0</v>
      </c>
      <c r="S1151" s="5">
        <v>0.0</v>
      </c>
      <c r="T1151" s="5">
        <v>221.896546890665</v>
      </c>
    </row>
    <row r="1152">
      <c r="A1152" s="5">
        <v>1150.0</v>
      </c>
      <c r="B1152" s="6">
        <v>45247.0</v>
      </c>
      <c r="C1152" s="5">
        <v>212.114642994422</v>
      </c>
      <c r="D1152" s="5">
        <v>181.280031556376</v>
      </c>
      <c r="E1152" s="5">
        <v>264.495457222034</v>
      </c>
      <c r="F1152" s="5">
        <v>212.114642994422</v>
      </c>
      <c r="G1152" s="5">
        <v>212.114642994422</v>
      </c>
      <c r="H1152" s="5">
        <v>9.65056632758606</v>
      </c>
      <c r="I1152" s="5">
        <v>9.65056632758606</v>
      </c>
      <c r="J1152" s="5">
        <v>9.65056632758606</v>
      </c>
      <c r="K1152" s="5">
        <v>-0.739640081279833</v>
      </c>
      <c r="L1152" s="5">
        <v>-0.739640081279833</v>
      </c>
      <c r="M1152" s="5">
        <v>-0.739640081279833</v>
      </c>
      <c r="N1152" s="5">
        <v>10.3902064088659</v>
      </c>
      <c r="O1152" s="5">
        <v>10.3902064088659</v>
      </c>
      <c r="P1152" s="5">
        <v>10.3902064088659</v>
      </c>
      <c r="Q1152" s="5">
        <v>0.0</v>
      </c>
      <c r="R1152" s="5">
        <v>0.0</v>
      </c>
      <c r="S1152" s="5">
        <v>0.0</v>
      </c>
      <c r="T1152" s="5">
        <v>221.765209322008</v>
      </c>
    </row>
    <row r="1153">
      <c r="A1153" s="5">
        <v>1151.0</v>
      </c>
      <c r="B1153" s="6">
        <v>45250.0</v>
      </c>
      <c r="C1153" s="5">
        <v>212.165765914308</v>
      </c>
      <c r="D1153" s="5">
        <v>184.405626353753</v>
      </c>
      <c r="E1153" s="5">
        <v>266.730256565426</v>
      </c>
      <c r="F1153" s="5">
        <v>212.165765914308</v>
      </c>
      <c r="G1153" s="5">
        <v>212.165765914308</v>
      </c>
      <c r="H1153" s="5">
        <v>12.9875228417162</v>
      </c>
      <c r="I1153" s="5">
        <v>12.9875228417162</v>
      </c>
      <c r="J1153" s="5">
        <v>12.9875228417162</v>
      </c>
      <c r="K1153" s="5">
        <v>1.16457933344987</v>
      </c>
      <c r="L1153" s="5">
        <v>1.16457933344987</v>
      </c>
      <c r="M1153" s="5">
        <v>1.16457933344987</v>
      </c>
      <c r="N1153" s="5">
        <v>11.8229435082664</v>
      </c>
      <c r="O1153" s="5">
        <v>11.8229435082664</v>
      </c>
      <c r="P1153" s="5">
        <v>11.8229435082664</v>
      </c>
      <c r="Q1153" s="5">
        <v>0.0</v>
      </c>
      <c r="R1153" s="5">
        <v>0.0</v>
      </c>
      <c r="S1153" s="5">
        <v>0.0</v>
      </c>
      <c r="T1153" s="5">
        <v>225.153288756024</v>
      </c>
    </row>
    <row r="1154">
      <c r="A1154" s="5">
        <v>1152.0</v>
      </c>
      <c r="B1154" s="6">
        <v>45251.0</v>
      </c>
      <c r="C1154" s="5">
        <v>212.182806887603</v>
      </c>
      <c r="D1154" s="5">
        <v>185.629674814078</v>
      </c>
      <c r="E1154" s="5">
        <v>262.824812267439</v>
      </c>
      <c r="F1154" s="5">
        <v>212.182806887603</v>
      </c>
      <c r="G1154" s="5">
        <v>212.182806887603</v>
      </c>
      <c r="H1154" s="5">
        <v>12.6284812211525</v>
      </c>
      <c r="I1154" s="5">
        <v>12.6284812211525</v>
      </c>
      <c r="J1154" s="5">
        <v>12.6284812211525</v>
      </c>
      <c r="K1154" s="5">
        <v>0.247324772138116</v>
      </c>
      <c r="L1154" s="5">
        <v>0.247324772138116</v>
      </c>
      <c r="M1154" s="5">
        <v>0.247324772138116</v>
      </c>
      <c r="N1154" s="5">
        <v>12.3811564490144</v>
      </c>
      <c r="O1154" s="5">
        <v>12.3811564490144</v>
      </c>
      <c r="P1154" s="5">
        <v>12.3811564490144</v>
      </c>
      <c r="Q1154" s="5">
        <v>0.0</v>
      </c>
      <c r="R1154" s="5">
        <v>0.0</v>
      </c>
      <c r="S1154" s="5">
        <v>0.0</v>
      </c>
      <c r="T1154" s="5">
        <v>224.811288108756</v>
      </c>
    </row>
    <row r="1155">
      <c r="A1155" s="5">
        <v>1153.0</v>
      </c>
      <c r="B1155" s="6">
        <v>45252.0</v>
      </c>
      <c r="C1155" s="5">
        <v>212.199847860899</v>
      </c>
      <c r="D1155" s="5">
        <v>182.25734853237</v>
      </c>
      <c r="E1155" s="5">
        <v>265.132260181792</v>
      </c>
      <c r="F1155" s="5">
        <v>212.199847860899</v>
      </c>
      <c r="G1155" s="5">
        <v>212.199847860899</v>
      </c>
      <c r="H1155" s="5">
        <v>13.5673791693368</v>
      </c>
      <c r="I1155" s="5">
        <v>13.5673791693368</v>
      </c>
      <c r="J1155" s="5">
        <v>13.5673791693368</v>
      </c>
      <c r="K1155" s="5">
        <v>0.608132553626909</v>
      </c>
      <c r="L1155" s="5">
        <v>0.608132553626909</v>
      </c>
      <c r="M1155" s="5">
        <v>0.608132553626909</v>
      </c>
      <c r="N1155" s="5">
        <v>12.9592466157099</v>
      </c>
      <c r="O1155" s="5">
        <v>12.9592466157099</v>
      </c>
      <c r="P1155" s="5">
        <v>12.9592466157099</v>
      </c>
      <c r="Q1155" s="5">
        <v>0.0</v>
      </c>
      <c r="R1155" s="5">
        <v>0.0</v>
      </c>
      <c r="S1155" s="5">
        <v>0.0</v>
      </c>
      <c r="T1155" s="5">
        <v>225.767227030235</v>
      </c>
    </row>
    <row r="1156">
      <c r="A1156" s="5">
        <v>1154.0</v>
      </c>
      <c r="B1156" s="6">
        <v>45254.0</v>
      </c>
      <c r="C1156" s="5">
        <v>212.233929807489</v>
      </c>
      <c r="D1156" s="5">
        <v>182.386041348933</v>
      </c>
      <c r="E1156" s="5">
        <v>263.021968496495</v>
      </c>
      <c r="F1156" s="5">
        <v>212.233929807489</v>
      </c>
      <c r="G1156" s="5">
        <v>212.233929807489</v>
      </c>
      <c r="H1156" s="5">
        <v>13.3765204729075</v>
      </c>
      <c r="I1156" s="5">
        <v>13.3765204729075</v>
      </c>
      <c r="J1156" s="5">
        <v>13.3765204729075</v>
      </c>
      <c r="K1156" s="5">
        <v>-0.739640081284421</v>
      </c>
      <c r="L1156" s="5">
        <v>-0.739640081284421</v>
      </c>
      <c r="M1156" s="5">
        <v>-0.739640081284421</v>
      </c>
      <c r="N1156" s="5">
        <v>14.1161605541919</v>
      </c>
      <c r="O1156" s="5">
        <v>14.1161605541919</v>
      </c>
      <c r="P1156" s="5">
        <v>14.1161605541919</v>
      </c>
      <c r="Q1156" s="5">
        <v>0.0</v>
      </c>
      <c r="R1156" s="5">
        <v>0.0</v>
      </c>
      <c r="S1156" s="5">
        <v>0.0</v>
      </c>
      <c r="T1156" s="5">
        <v>225.610450280397</v>
      </c>
    </row>
    <row r="1157">
      <c r="A1157" s="5">
        <v>1155.0</v>
      </c>
      <c r="B1157" s="6">
        <v>45257.0</v>
      </c>
      <c r="C1157" s="5">
        <v>212.285052727375</v>
      </c>
      <c r="D1157" s="5">
        <v>189.027610234202</v>
      </c>
      <c r="E1157" s="5">
        <v>271.442471080388</v>
      </c>
      <c r="F1157" s="5">
        <v>212.285052727375</v>
      </c>
      <c r="G1157" s="5">
        <v>212.285052727375</v>
      </c>
      <c r="H1157" s="5">
        <v>16.7826962088898</v>
      </c>
      <c r="I1157" s="5">
        <v>16.7826962088898</v>
      </c>
      <c r="J1157" s="5">
        <v>16.7826962088898</v>
      </c>
      <c r="K1157" s="5">
        <v>1.1645793334502</v>
      </c>
      <c r="L1157" s="5">
        <v>1.1645793334502</v>
      </c>
      <c r="M1157" s="5">
        <v>1.1645793334502</v>
      </c>
      <c r="N1157" s="5">
        <v>15.6181168754396</v>
      </c>
      <c r="O1157" s="5">
        <v>15.6181168754396</v>
      </c>
      <c r="P1157" s="5">
        <v>15.6181168754396</v>
      </c>
      <c r="Q1157" s="5">
        <v>0.0</v>
      </c>
      <c r="R1157" s="5">
        <v>0.0</v>
      </c>
      <c r="S1157" s="5">
        <v>0.0</v>
      </c>
      <c r="T1157" s="5">
        <v>229.067748936265</v>
      </c>
    </row>
    <row r="1158">
      <c r="A1158" s="5">
        <v>1156.0</v>
      </c>
      <c r="B1158" s="6">
        <v>45258.0</v>
      </c>
      <c r="C1158" s="5">
        <v>212.30209370067</v>
      </c>
      <c r="D1158" s="5">
        <v>186.909855815452</v>
      </c>
      <c r="E1158" s="5">
        <v>270.692949177224</v>
      </c>
      <c r="F1158" s="5">
        <v>212.30209370067</v>
      </c>
      <c r="G1158" s="5">
        <v>212.30209370067</v>
      </c>
      <c r="H1158" s="5">
        <v>16.2426109560566</v>
      </c>
      <c r="I1158" s="5">
        <v>16.2426109560566</v>
      </c>
      <c r="J1158" s="5">
        <v>16.2426109560566</v>
      </c>
      <c r="K1158" s="5">
        <v>0.247324772136782</v>
      </c>
      <c r="L1158" s="5">
        <v>0.247324772136782</v>
      </c>
      <c r="M1158" s="5">
        <v>0.247324772136782</v>
      </c>
      <c r="N1158" s="5">
        <v>15.9952861839198</v>
      </c>
      <c r="O1158" s="5">
        <v>15.9952861839198</v>
      </c>
      <c r="P1158" s="5">
        <v>15.9952861839198</v>
      </c>
      <c r="Q1158" s="5">
        <v>0.0</v>
      </c>
      <c r="R1158" s="5">
        <v>0.0</v>
      </c>
      <c r="S1158" s="5">
        <v>0.0</v>
      </c>
      <c r="T1158" s="5">
        <v>228.544704656727</v>
      </c>
    </row>
    <row r="1159">
      <c r="A1159" s="5">
        <v>1157.0</v>
      </c>
      <c r="B1159" s="6">
        <v>45259.0</v>
      </c>
      <c r="C1159" s="5">
        <v>212.319134673965</v>
      </c>
      <c r="D1159" s="5">
        <v>189.659756319215</v>
      </c>
      <c r="E1159" s="5">
        <v>269.875954535605</v>
      </c>
      <c r="F1159" s="5">
        <v>212.319134673965</v>
      </c>
      <c r="G1159" s="5">
        <v>212.319134673965</v>
      </c>
      <c r="H1159" s="5">
        <v>16.8961849060514</v>
      </c>
      <c r="I1159" s="5">
        <v>16.8961849060514</v>
      </c>
      <c r="J1159" s="5">
        <v>16.8961849060514</v>
      </c>
      <c r="K1159" s="5">
        <v>0.608132553626019</v>
      </c>
      <c r="L1159" s="5">
        <v>0.608132553626019</v>
      </c>
      <c r="M1159" s="5">
        <v>0.608132553626019</v>
      </c>
      <c r="N1159" s="5">
        <v>16.2880523524254</v>
      </c>
      <c r="O1159" s="5">
        <v>16.2880523524254</v>
      </c>
      <c r="P1159" s="5">
        <v>16.2880523524254</v>
      </c>
      <c r="Q1159" s="5">
        <v>0.0</v>
      </c>
      <c r="R1159" s="5">
        <v>0.0</v>
      </c>
      <c r="S1159" s="5">
        <v>0.0</v>
      </c>
      <c r="T1159" s="5">
        <v>229.215319580017</v>
      </c>
    </row>
    <row r="1160">
      <c r="A1160" s="5">
        <v>1158.0</v>
      </c>
      <c r="B1160" s="6">
        <v>45260.0</v>
      </c>
      <c r="C1160" s="5">
        <v>212.336175647261</v>
      </c>
      <c r="D1160" s="5">
        <v>189.253472738843</v>
      </c>
      <c r="E1160" s="5">
        <v>269.851808136744</v>
      </c>
      <c r="F1160" s="5">
        <v>212.336175647261</v>
      </c>
      <c r="G1160" s="5">
        <v>212.336175647261</v>
      </c>
      <c r="H1160" s="5">
        <v>16.2599484924268</v>
      </c>
      <c r="I1160" s="5">
        <v>16.2599484924268</v>
      </c>
      <c r="J1160" s="5">
        <v>16.2599484924268</v>
      </c>
      <c r="K1160" s="5">
        <v>-0.225417905351584</v>
      </c>
      <c r="L1160" s="5">
        <v>-0.225417905351584</v>
      </c>
      <c r="M1160" s="5">
        <v>-0.225417905351584</v>
      </c>
      <c r="N1160" s="5">
        <v>16.4853663977783</v>
      </c>
      <c r="O1160" s="5">
        <v>16.4853663977783</v>
      </c>
      <c r="P1160" s="5">
        <v>16.4853663977783</v>
      </c>
      <c r="Q1160" s="5">
        <v>0.0</v>
      </c>
      <c r="R1160" s="5">
        <v>0.0</v>
      </c>
      <c r="S1160" s="5">
        <v>0.0</v>
      </c>
      <c r="T1160" s="5">
        <v>228.596124139687</v>
      </c>
    </row>
    <row r="1161">
      <c r="A1161" s="5">
        <v>1159.0</v>
      </c>
      <c r="B1161" s="6">
        <v>45261.0</v>
      </c>
      <c r="C1161" s="5">
        <v>212.353216620556</v>
      </c>
      <c r="D1161" s="5">
        <v>191.06430594086</v>
      </c>
      <c r="E1161" s="5">
        <v>268.635221466109</v>
      </c>
      <c r="F1161" s="5">
        <v>212.353216620556</v>
      </c>
      <c r="G1161" s="5">
        <v>212.353216620556</v>
      </c>
      <c r="H1161" s="5">
        <v>15.8387869362899</v>
      </c>
      <c r="I1161" s="5">
        <v>15.8387869362899</v>
      </c>
      <c r="J1161" s="5">
        <v>15.8387869362899</v>
      </c>
      <c r="K1161" s="5">
        <v>-0.739640081280083</v>
      </c>
      <c r="L1161" s="5">
        <v>-0.739640081280083</v>
      </c>
      <c r="M1161" s="5">
        <v>-0.739640081280083</v>
      </c>
      <c r="N1161" s="5">
        <v>16.57842701757</v>
      </c>
      <c r="O1161" s="5">
        <v>16.57842701757</v>
      </c>
      <c r="P1161" s="5">
        <v>16.57842701757</v>
      </c>
      <c r="Q1161" s="5">
        <v>0.0</v>
      </c>
      <c r="R1161" s="5">
        <v>0.0</v>
      </c>
      <c r="S1161" s="5">
        <v>0.0</v>
      </c>
      <c r="T1161" s="5">
        <v>228.192003556846</v>
      </c>
    </row>
    <row r="1162">
      <c r="A1162" s="5">
        <v>1160.0</v>
      </c>
      <c r="B1162" s="6">
        <v>45264.0</v>
      </c>
      <c r="C1162" s="5">
        <v>212.404339540442</v>
      </c>
      <c r="D1162" s="5">
        <v>189.625217833688</v>
      </c>
      <c r="E1162" s="5">
        <v>270.542427174789</v>
      </c>
      <c r="F1162" s="5">
        <v>212.404339540442</v>
      </c>
      <c r="G1162" s="5">
        <v>212.404339540442</v>
      </c>
      <c r="H1162" s="5">
        <v>17.3485215151392</v>
      </c>
      <c r="I1162" s="5">
        <v>17.3485215151392</v>
      </c>
      <c r="J1162" s="5">
        <v>17.3485215151392</v>
      </c>
      <c r="K1162" s="5">
        <v>1.16457933345044</v>
      </c>
      <c r="L1162" s="5">
        <v>1.16457933345044</v>
      </c>
      <c r="M1162" s="5">
        <v>1.16457933345044</v>
      </c>
      <c r="N1162" s="5">
        <v>16.1839421816888</v>
      </c>
      <c r="O1162" s="5">
        <v>16.1839421816888</v>
      </c>
      <c r="P1162" s="5">
        <v>16.1839421816888</v>
      </c>
      <c r="Q1162" s="5">
        <v>0.0</v>
      </c>
      <c r="R1162" s="5">
        <v>0.0</v>
      </c>
      <c r="S1162" s="5">
        <v>0.0</v>
      </c>
      <c r="T1162" s="5">
        <v>229.752861055581</v>
      </c>
    </row>
    <row r="1163">
      <c r="A1163" s="5">
        <v>1161.0</v>
      </c>
      <c r="B1163" s="6">
        <v>45265.0</v>
      </c>
      <c r="C1163" s="5">
        <v>212.421380513737</v>
      </c>
      <c r="D1163" s="5">
        <v>187.414521273743</v>
      </c>
      <c r="E1163" s="5">
        <v>269.958654860743</v>
      </c>
      <c r="F1163" s="5">
        <v>212.421380513737</v>
      </c>
      <c r="G1163" s="5">
        <v>212.421380513737</v>
      </c>
      <c r="H1163" s="5">
        <v>16.0738104414213</v>
      </c>
      <c r="I1163" s="5">
        <v>16.0738104414213</v>
      </c>
      <c r="J1163" s="5">
        <v>16.0738104414213</v>
      </c>
      <c r="K1163" s="5">
        <v>0.247324772138293</v>
      </c>
      <c r="L1163" s="5">
        <v>0.247324772138293</v>
      </c>
      <c r="M1163" s="5">
        <v>0.247324772138293</v>
      </c>
      <c r="N1163" s="5">
        <v>15.826485669283</v>
      </c>
      <c r="O1163" s="5">
        <v>15.826485669283</v>
      </c>
      <c r="P1163" s="5">
        <v>15.826485669283</v>
      </c>
      <c r="Q1163" s="5">
        <v>0.0</v>
      </c>
      <c r="R1163" s="5">
        <v>0.0</v>
      </c>
      <c r="S1163" s="5">
        <v>0.0</v>
      </c>
      <c r="T1163" s="5">
        <v>228.495190955158</v>
      </c>
    </row>
    <row r="1164">
      <c r="A1164" s="5">
        <v>1162.0</v>
      </c>
      <c r="B1164" s="6">
        <v>45266.0</v>
      </c>
      <c r="C1164" s="5">
        <v>212.438421487032</v>
      </c>
      <c r="D1164" s="5">
        <v>190.305722919362</v>
      </c>
      <c r="E1164" s="5">
        <v>271.453599695236</v>
      </c>
      <c r="F1164" s="5">
        <v>212.438421487032</v>
      </c>
      <c r="G1164" s="5">
        <v>212.438421487032</v>
      </c>
      <c r="H1164" s="5">
        <v>15.9710883852635</v>
      </c>
      <c r="I1164" s="5">
        <v>15.9710883852635</v>
      </c>
      <c r="J1164" s="5">
        <v>15.9710883852635</v>
      </c>
      <c r="K1164" s="5">
        <v>0.608132553626684</v>
      </c>
      <c r="L1164" s="5">
        <v>0.608132553626684</v>
      </c>
      <c r="M1164" s="5">
        <v>0.608132553626684</v>
      </c>
      <c r="N1164" s="5">
        <v>15.3629558316368</v>
      </c>
      <c r="O1164" s="5">
        <v>15.3629558316368</v>
      </c>
      <c r="P1164" s="5">
        <v>15.3629558316368</v>
      </c>
      <c r="Q1164" s="5">
        <v>0.0</v>
      </c>
      <c r="R1164" s="5">
        <v>0.0</v>
      </c>
      <c r="S1164" s="5">
        <v>0.0</v>
      </c>
      <c r="T1164" s="5">
        <v>228.409509872296</v>
      </c>
    </row>
    <row r="1165">
      <c r="A1165" s="5">
        <v>1163.0</v>
      </c>
      <c r="B1165" s="6">
        <v>45267.0</v>
      </c>
      <c r="C1165" s="5">
        <v>212.455462460328</v>
      </c>
      <c r="D1165" s="5">
        <v>186.755790502152</v>
      </c>
      <c r="E1165" s="5">
        <v>269.943031254966</v>
      </c>
      <c r="F1165" s="5">
        <v>212.455462460328</v>
      </c>
      <c r="G1165" s="5">
        <v>212.455462460328</v>
      </c>
      <c r="H1165" s="5">
        <v>14.5765733580221</v>
      </c>
      <c r="I1165" s="5">
        <v>14.5765733580221</v>
      </c>
      <c r="J1165" s="5">
        <v>14.5765733580221</v>
      </c>
      <c r="K1165" s="5">
        <v>-0.225417905347777</v>
      </c>
      <c r="L1165" s="5">
        <v>-0.225417905347777</v>
      </c>
      <c r="M1165" s="5">
        <v>-0.225417905347777</v>
      </c>
      <c r="N1165" s="5">
        <v>14.8019912633699</v>
      </c>
      <c r="O1165" s="5">
        <v>14.8019912633699</v>
      </c>
      <c r="P1165" s="5">
        <v>14.8019912633699</v>
      </c>
      <c r="Q1165" s="5">
        <v>0.0</v>
      </c>
      <c r="R1165" s="5">
        <v>0.0</v>
      </c>
      <c r="S1165" s="5">
        <v>0.0</v>
      </c>
      <c r="T1165" s="5">
        <v>227.03203581835</v>
      </c>
    </row>
    <row r="1166">
      <c r="A1166" s="5">
        <v>1164.0</v>
      </c>
      <c r="B1166" s="6">
        <v>45268.0</v>
      </c>
      <c r="C1166" s="5">
        <v>212.472503433623</v>
      </c>
      <c r="D1166" s="5">
        <v>187.498537505639</v>
      </c>
      <c r="E1166" s="5">
        <v>270.127859913927</v>
      </c>
      <c r="F1166" s="5">
        <v>212.472503433623</v>
      </c>
      <c r="G1166" s="5">
        <v>212.472503433623</v>
      </c>
      <c r="H1166" s="5">
        <v>13.4153736542287</v>
      </c>
      <c r="I1166" s="5">
        <v>13.4153736542287</v>
      </c>
      <c r="J1166" s="5">
        <v>13.4153736542287</v>
      </c>
      <c r="K1166" s="5">
        <v>-0.739640081281238</v>
      </c>
      <c r="L1166" s="5">
        <v>-0.739640081281238</v>
      </c>
      <c r="M1166" s="5">
        <v>-0.739640081281238</v>
      </c>
      <c r="N1166" s="5">
        <v>14.1550137355099</v>
      </c>
      <c r="O1166" s="5">
        <v>14.1550137355099</v>
      </c>
      <c r="P1166" s="5">
        <v>14.1550137355099</v>
      </c>
      <c r="Q1166" s="5">
        <v>0.0</v>
      </c>
      <c r="R1166" s="5">
        <v>0.0</v>
      </c>
      <c r="S1166" s="5">
        <v>0.0</v>
      </c>
      <c r="T1166" s="5">
        <v>225.887877087852</v>
      </c>
    </row>
    <row r="1167">
      <c r="A1167" s="5">
        <v>1165.0</v>
      </c>
      <c r="B1167" s="6">
        <v>45271.0</v>
      </c>
      <c r="C1167" s="5">
        <v>212.523626353509</v>
      </c>
      <c r="D1167" s="5">
        <v>189.171316828331</v>
      </c>
      <c r="E1167" s="5">
        <v>265.600577074972</v>
      </c>
      <c r="F1167" s="5">
        <v>212.523626353509</v>
      </c>
      <c r="G1167" s="5">
        <v>212.523626353509</v>
      </c>
      <c r="H1167" s="5">
        <v>13.0124520710247</v>
      </c>
      <c r="I1167" s="5">
        <v>13.0124520710247</v>
      </c>
      <c r="J1167" s="5">
        <v>13.0124520710247</v>
      </c>
      <c r="K1167" s="5">
        <v>1.16457933345067</v>
      </c>
      <c r="L1167" s="5">
        <v>1.16457933345067</v>
      </c>
      <c r="M1167" s="5">
        <v>1.16457933345067</v>
      </c>
      <c r="N1167" s="5">
        <v>11.847872737574</v>
      </c>
      <c r="O1167" s="5">
        <v>11.847872737574</v>
      </c>
      <c r="P1167" s="5">
        <v>11.847872737574</v>
      </c>
      <c r="Q1167" s="5">
        <v>0.0</v>
      </c>
      <c r="R1167" s="5">
        <v>0.0</v>
      </c>
      <c r="S1167" s="5">
        <v>0.0</v>
      </c>
      <c r="T1167" s="5">
        <v>225.536078424533</v>
      </c>
    </row>
    <row r="1168">
      <c r="A1168" s="5">
        <v>1166.0</v>
      </c>
      <c r="B1168" s="6">
        <v>45272.0</v>
      </c>
      <c r="C1168" s="5">
        <v>212.540667326804</v>
      </c>
      <c r="D1168" s="5">
        <v>183.610171728802</v>
      </c>
      <c r="E1168" s="5">
        <v>261.666837453287</v>
      </c>
      <c r="F1168" s="5">
        <v>212.540667326804</v>
      </c>
      <c r="G1168" s="5">
        <v>212.540667326804</v>
      </c>
      <c r="H1168" s="5">
        <v>11.2632193629771</v>
      </c>
      <c r="I1168" s="5">
        <v>11.2632193629771</v>
      </c>
      <c r="J1168" s="5">
        <v>11.2632193629771</v>
      </c>
      <c r="K1168" s="5">
        <v>0.247324772138256</v>
      </c>
      <c r="L1168" s="5">
        <v>0.247324772138256</v>
      </c>
      <c r="M1168" s="5">
        <v>0.247324772138256</v>
      </c>
      <c r="N1168" s="5">
        <v>11.0158945908388</v>
      </c>
      <c r="O1168" s="5">
        <v>11.0158945908388</v>
      </c>
      <c r="P1168" s="5">
        <v>11.0158945908388</v>
      </c>
      <c r="Q1168" s="5">
        <v>0.0</v>
      </c>
      <c r="R1168" s="5">
        <v>0.0</v>
      </c>
      <c r="S1168" s="5">
        <v>0.0</v>
      </c>
      <c r="T1168" s="5">
        <v>223.803886689781</v>
      </c>
    </row>
    <row r="1169">
      <c r="A1169" s="5">
        <v>1167.0</v>
      </c>
      <c r="B1169" s="6">
        <v>45273.0</v>
      </c>
      <c r="C1169" s="5">
        <v>212.557708300099</v>
      </c>
      <c r="D1169" s="5">
        <v>185.074542694013</v>
      </c>
      <c r="E1169" s="5">
        <v>264.305960558666</v>
      </c>
      <c r="F1169" s="5">
        <v>212.557708300099</v>
      </c>
      <c r="G1169" s="5">
        <v>212.557708300099</v>
      </c>
      <c r="H1169" s="5">
        <v>10.7931198361349</v>
      </c>
      <c r="I1169" s="5">
        <v>10.7931198361349</v>
      </c>
      <c r="J1169" s="5">
        <v>10.7931198361349</v>
      </c>
      <c r="K1169" s="5">
        <v>0.608132553625795</v>
      </c>
      <c r="L1169" s="5">
        <v>0.608132553625795</v>
      </c>
      <c r="M1169" s="5">
        <v>0.608132553625795</v>
      </c>
      <c r="N1169" s="5">
        <v>10.1849872825091</v>
      </c>
      <c r="O1169" s="5">
        <v>10.1849872825091</v>
      </c>
      <c r="P1169" s="5">
        <v>10.1849872825091</v>
      </c>
      <c r="Q1169" s="5">
        <v>0.0</v>
      </c>
      <c r="R1169" s="5">
        <v>0.0</v>
      </c>
      <c r="S1169" s="5">
        <v>0.0</v>
      </c>
      <c r="T1169" s="5">
        <v>223.350828136234</v>
      </c>
    </row>
    <row r="1170">
      <c r="A1170" s="5">
        <v>1168.0</v>
      </c>
      <c r="B1170" s="6">
        <v>45274.0</v>
      </c>
      <c r="C1170" s="5">
        <v>212.574749273394</v>
      </c>
      <c r="D1170" s="5">
        <v>181.33129771995</v>
      </c>
      <c r="E1170" s="5">
        <v>261.860031169311</v>
      </c>
      <c r="F1170" s="5">
        <v>212.574749273394</v>
      </c>
      <c r="G1170" s="5">
        <v>212.574749273394</v>
      </c>
      <c r="H1170" s="5">
        <v>9.14994279334997</v>
      </c>
      <c r="I1170" s="5">
        <v>9.14994279334997</v>
      </c>
      <c r="J1170" s="5">
        <v>9.14994279334997</v>
      </c>
      <c r="K1170" s="5">
        <v>-0.225417905350742</v>
      </c>
      <c r="L1170" s="5">
        <v>-0.225417905350742</v>
      </c>
      <c r="M1170" s="5">
        <v>-0.225417905350742</v>
      </c>
      <c r="N1170" s="5">
        <v>9.37536069870071</v>
      </c>
      <c r="O1170" s="5">
        <v>9.37536069870071</v>
      </c>
      <c r="P1170" s="5">
        <v>9.37536069870071</v>
      </c>
      <c r="Q1170" s="5">
        <v>0.0</v>
      </c>
      <c r="R1170" s="5">
        <v>0.0</v>
      </c>
      <c r="S1170" s="5">
        <v>0.0</v>
      </c>
      <c r="T1170" s="5">
        <v>221.724692066744</v>
      </c>
    </row>
    <row r="1171">
      <c r="A1171" s="5">
        <v>1169.0</v>
      </c>
      <c r="B1171" s="6">
        <v>45275.0</v>
      </c>
      <c r="C1171" s="5">
        <v>212.59179024669</v>
      </c>
      <c r="D1171" s="5">
        <v>179.41403783954</v>
      </c>
      <c r="E1171" s="5">
        <v>258.382905389871</v>
      </c>
      <c r="F1171" s="5">
        <v>212.59179024669</v>
      </c>
      <c r="G1171" s="5">
        <v>212.59179024669</v>
      </c>
      <c r="H1171" s="5">
        <v>7.86727087917529</v>
      </c>
      <c r="I1171" s="5">
        <v>7.86727087917529</v>
      </c>
      <c r="J1171" s="5">
        <v>7.86727087917529</v>
      </c>
      <c r="K1171" s="5">
        <v>-0.739640081278962</v>
      </c>
      <c r="L1171" s="5">
        <v>-0.739640081278962</v>
      </c>
      <c r="M1171" s="5">
        <v>-0.739640081278962</v>
      </c>
      <c r="N1171" s="5">
        <v>8.60691096045425</v>
      </c>
      <c r="O1171" s="5">
        <v>8.60691096045425</v>
      </c>
      <c r="P1171" s="5">
        <v>8.60691096045425</v>
      </c>
      <c r="Q1171" s="5">
        <v>0.0</v>
      </c>
      <c r="R1171" s="5">
        <v>0.0</v>
      </c>
      <c r="S1171" s="5">
        <v>0.0</v>
      </c>
      <c r="T1171" s="5">
        <v>220.459061125865</v>
      </c>
    </row>
    <row r="1172">
      <c r="A1172" s="5">
        <v>1170.0</v>
      </c>
      <c r="B1172" s="6">
        <v>45278.0</v>
      </c>
      <c r="C1172" s="5">
        <v>212.642913166575</v>
      </c>
      <c r="D1172" s="5">
        <v>183.65082724383</v>
      </c>
      <c r="E1172" s="5">
        <v>259.286622855608</v>
      </c>
      <c r="F1172" s="5">
        <v>212.642913166575</v>
      </c>
      <c r="G1172" s="5">
        <v>212.642913166575</v>
      </c>
      <c r="H1172" s="5">
        <v>7.89589594621064</v>
      </c>
      <c r="I1172" s="5">
        <v>7.89589594621064</v>
      </c>
      <c r="J1172" s="5">
        <v>7.89589594621064</v>
      </c>
      <c r="K1172" s="5">
        <v>1.16457933345111</v>
      </c>
      <c r="L1172" s="5">
        <v>1.16457933345111</v>
      </c>
      <c r="M1172" s="5">
        <v>1.16457933345111</v>
      </c>
      <c r="N1172" s="5">
        <v>6.73131661275952</v>
      </c>
      <c r="O1172" s="5">
        <v>6.73131661275952</v>
      </c>
      <c r="P1172" s="5">
        <v>6.73131661275952</v>
      </c>
      <c r="Q1172" s="5">
        <v>0.0</v>
      </c>
      <c r="R1172" s="5">
        <v>0.0</v>
      </c>
      <c r="S1172" s="5">
        <v>0.0</v>
      </c>
      <c r="T1172" s="5">
        <v>220.538809112786</v>
      </c>
    </row>
    <row r="1173">
      <c r="A1173" s="5">
        <v>1171.0</v>
      </c>
      <c r="B1173" s="6">
        <v>45279.0</v>
      </c>
      <c r="C1173" s="5">
        <v>212.659954139871</v>
      </c>
      <c r="D1173" s="5">
        <v>179.97859911197</v>
      </c>
      <c r="E1173" s="5">
        <v>260.492490071808</v>
      </c>
      <c r="F1173" s="5">
        <v>212.659954139871</v>
      </c>
      <c r="G1173" s="5">
        <v>212.659954139871</v>
      </c>
      <c r="H1173" s="5">
        <v>6.54855517217282</v>
      </c>
      <c r="I1173" s="5">
        <v>6.54855517217282</v>
      </c>
      <c r="J1173" s="5">
        <v>6.54855517217282</v>
      </c>
      <c r="K1173" s="5">
        <v>0.247324772139767</v>
      </c>
      <c r="L1173" s="5">
        <v>0.247324772139767</v>
      </c>
      <c r="M1173" s="5">
        <v>0.247324772139767</v>
      </c>
      <c r="N1173" s="5">
        <v>6.30123040003305</v>
      </c>
      <c r="O1173" s="5">
        <v>6.30123040003305</v>
      </c>
      <c r="P1173" s="5">
        <v>6.30123040003305</v>
      </c>
      <c r="Q1173" s="5">
        <v>0.0</v>
      </c>
      <c r="R1173" s="5">
        <v>0.0</v>
      </c>
      <c r="S1173" s="5">
        <v>0.0</v>
      </c>
      <c r="T1173" s="5">
        <v>219.208509312044</v>
      </c>
    </row>
    <row r="1174">
      <c r="A1174" s="5">
        <v>1172.0</v>
      </c>
      <c r="B1174" s="6">
        <v>45280.0</v>
      </c>
      <c r="C1174" s="5">
        <v>212.676995113166</v>
      </c>
      <c r="D1174" s="5">
        <v>178.715104999343</v>
      </c>
      <c r="E1174" s="5">
        <v>257.770152999012</v>
      </c>
      <c r="F1174" s="5">
        <v>212.676995113166</v>
      </c>
      <c r="G1174" s="5">
        <v>212.676995113166</v>
      </c>
      <c r="H1174" s="5">
        <v>6.5966458686534</v>
      </c>
      <c r="I1174" s="5">
        <v>6.5966458686534</v>
      </c>
      <c r="J1174" s="5">
        <v>6.5966458686534</v>
      </c>
      <c r="K1174" s="5">
        <v>0.608132553627573</v>
      </c>
      <c r="L1174" s="5">
        <v>0.608132553627573</v>
      </c>
      <c r="M1174" s="5">
        <v>0.608132553627573</v>
      </c>
      <c r="N1174" s="5">
        <v>5.98851331502583</v>
      </c>
      <c r="O1174" s="5">
        <v>5.98851331502583</v>
      </c>
      <c r="P1174" s="5">
        <v>5.98851331502583</v>
      </c>
      <c r="Q1174" s="5">
        <v>0.0</v>
      </c>
      <c r="R1174" s="5">
        <v>0.0</v>
      </c>
      <c r="S1174" s="5">
        <v>0.0</v>
      </c>
      <c r="T1174" s="5">
        <v>219.273640981819</v>
      </c>
    </row>
    <row r="1175">
      <c r="A1175" s="5">
        <v>1173.0</v>
      </c>
      <c r="B1175" s="6">
        <v>45281.0</v>
      </c>
      <c r="C1175" s="5">
        <v>212.694036086461</v>
      </c>
      <c r="D1175" s="5">
        <v>175.748299769105</v>
      </c>
      <c r="E1175" s="5">
        <v>261.680024317499</v>
      </c>
      <c r="F1175" s="5">
        <v>212.694036086461</v>
      </c>
      <c r="G1175" s="5">
        <v>212.694036086461</v>
      </c>
      <c r="H1175" s="5">
        <v>5.57518097645294</v>
      </c>
      <c r="I1175" s="5">
        <v>5.57518097645294</v>
      </c>
      <c r="J1175" s="5">
        <v>5.57518097645294</v>
      </c>
      <c r="K1175" s="5">
        <v>-0.225417905350321</v>
      </c>
      <c r="L1175" s="5">
        <v>-0.225417905350321</v>
      </c>
      <c r="M1175" s="5">
        <v>-0.225417905350321</v>
      </c>
      <c r="N1175" s="5">
        <v>5.80059888180326</v>
      </c>
      <c r="O1175" s="5">
        <v>5.80059888180326</v>
      </c>
      <c r="P1175" s="5">
        <v>5.80059888180326</v>
      </c>
      <c r="Q1175" s="5">
        <v>0.0</v>
      </c>
      <c r="R1175" s="5">
        <v>0.0</v>
      </c>
      <c r="S1175" s="5">
        <v>0.0</v>
      </c>
      <c r="T1175" s="5">
        <v>218.269217062914</v>
      </c>
    </row>
    <row r="1176">
      <c r="A1176" s="5">
        <v>1174.0</v>
      </c>
      <c r="B1176" s="6">
        <v>45282.0</v>
      </c>
      <c r="C1176" s="5">
        <v>212.711077059757</v>
      </c>
      <c r="D1176" s="5">
        <v>177.158081225451</v>
      </c>
      <c r="E1176" s="5">
        <v>257.577903569289</v>
      </c>
      <c r="F1176" s="5">
        <v>212.711077059757</v>
      </c>
      <c r="G1176" s="5">
        <v>212.711077059757</v>
      </c>
      <c r="H1176" s="5">
        <v>5.00193239061333</v>
      </c>
      <c r="I1176" s="5">
        <v>5.00193239061333</v>
      </c>
      <c r="J1176" s="5">
        <v>5.00193239061333</v>
      </c>
      <c r="K1176" s="5">
        <v>-0.739640081276685</v>
      </c>
      <c r="L1176" s="5">
        <v>-0.739640081276685</v>
      </c>
      <c r="M1176" s="5">
        <v>-0.739640081276685</v>
      </c>
      <c r="N1176" s="5">
        <v>5.74157247189002</v>
      </c>
      <c r="O1176" s="5">
        <v>5.74157247189002</v>
      </c>
      <c r="P1176" s="5">
        <v>5.74157247189002</v>
      </c>
      <c r="Q1176" s="5">
        <v>0.0</v>
      </c>
      <c r="R1176" s="5">
        <v>0.0</v>
      </c>
      <c r="S1176" s="5">
        <v>0.0</v>
      </c>
      <c r="T1176" s="5">
        <v>217.71300945037</v>
      </c>
    </row>
    <row r="1177">
      <c r="A1177" s="5">
        <v>1175.0</v>
      </c>
      <c r="B1177" s="6">
        <v>45286.0</v>
      </c>
      <c r="C1177" s="5">
        <v>212.779240952938</v>
      </c>
      <c r="D1177" s="5">
        <v>180.360216179775</v>
      </c>
      <c r="E1177" s="5">
        <v>258.383904398801</v>
      </c>
      <c r="F1177" s="5">
        <v>212.779240952938</v>
      </c>
      <c r="G1177" s="5">
        <v>212.779240952938</v>
      </c>
      <c r="H1177" s="5">
        <v>7.00040713696983</v>
      </c>
      <c r="I1177" s="5">
        <v>7.00040713696983</v>
      </c>
      <c r="J1177" s="5">
        <v>7.00040713696983</v>
      </c>
      <c r="K1177" s="5">
        <v>0.247324772138432</v>
      </c>
      <c r="L1177" s="5">
        <v>0.247324772138432</v>
      </c>
      <c r="M1177" s="5">
        <v>0.247324772138432</v>
      </c>
      <c r="N1177" s="5">
        <v>6.7530823648314</v>
      </c>
      <c r="O1177" s="5">
        <v>6.7530823648314</v>
      </c>
      <c r="P1177" s="5">
        <v>6.7530823648314</v>
      </c>
      <c r="Q1177" s="5">
        <v>0.0</v>
      </c>
      <c r="R1177" s="5">
        <v>0.0</v>
      </c>
      <c r="S1177" s="5">
        <v>0.0</v>
      </c>
      <c r="T1177" s="5">
        <v>219.779648089907</v>
      </c>
    </row>
    <row r="1178">
      <c r="A1178" s="5">
        <v>1176.0</v>
      </c>
      <c r="B1178" s="6">
        <v>45287.0</v>
      </c>
      <c r="C1178" s="5">
        <v>212.796281926233</v>
      </c>
      <c r="D1178" s="5">
        <v>182.608010286978</v>
      </c>
      <c r="E1178" s="5">
        <v>260.489213969474</v>
      </c>
      <c r="F1178" s="5">
        <v>212.796281926233</v>
      </c>
      <c r="G1178" s="5">
        <v>212.796281926233</v>
      </c>
      <c r="H1178" s="5">
        <v>7.88554715171239</v>
      </c>
      <c r="I1178" s="5">
        <v>7.88554715171239</v>
      </c>
      <c r="J1178" s="5">
        <v>7.88554715171239</v>
      </c>
      <c r="K1178" s="5">
        <v>0.608132553626684</v>
      </c>
      <c r="L1178" s="5">
        <v>0.608132553626684</v>
      </c>
      <c r="M1178" s="5">
        <v>0.608132553626684</v>
      </c>
      <c r="N1178" s="5">
        <v>7.2774145980857</v>
      </c>
      <c r="O1178" s="5">
        <v>7.2774145980857</v>
      </c>
      <c r="P1178" s="5">
        <v>7.2774145980857</v>
      </c>
      <c r="Q1178" s="5">
        <v>0.0</v>
      </c>
      <c r="R1178" s="5">
        <v>0.0</v>
      </c>
      <c r="S1178" s="5">
        <v>0.0</v>
      </c>
      <c r="T1178" s="5">
        <v>220.681829077945</v>
      </c>
    </row>
    <row r="1179">
      <c r="A1179" s="5">
        <v>1177.0</v>
      </c>
      <c r="B1179" s="6">
        <v>45288.0</v>
      </c>
      <c r="C1179" s="5">
        <v>212.813322899528</v>
      </c>
      <c r="D1179" s="5">
        <v>182.180063028597</v>
      </c>
      <c r="E1179" s="5">
        <v>260.760912334343</v>
      </c>
      <c r="F1179" s="5">
        <v>212.813322899528</v>
      </c>
      <c r="G1179" s="5">
        <v>212.813322899528</v>
      </c>
      <c r="H1179" s="5">
        <v>7.65773896185464</v>
      </c>
      <c r="I1179" s="5">
        <v>7.65773896185464</v>
      </c>
      <c r="J1179" s="5">
        <v>7.65773896185464</v>
      </c>
      <c r="K1179" s="5">
        <v>-0.225417905347974</v>
      </c>
      <c r="L1179" s="5">
        <v>-0.225417905347974</v>
      </c>
      <c r="M1179" s="5">
        <v>-0.225417905347974</v>
      </c>
      <c r="N1179" s="5">
        <v>7.88315686720261</v>
      </c>
      <c r="O1179" s="5">
        <v>7.88315686720261</v>
      </c>
      <c r="P1179" s="5">
        <v>7.88315686720261</v>
      </c>
      <c r="Q1179" s="5">
        <v>0.0</v>
      </c>
      <c r="R1179" s="5">
        <v>0.0</v>
      </c>
      <c r="S1179" s="5">
        <v>0.0</v>
      </c>
      <c r="T1179" s="5">
        <v>220.471061861383</v>
      </c>
    </row>
    <row r="1180">
      <c r="A1180" s="5">
        <v>1178.0</v>
      </c>
      <c r="B1180" s="6">
        <v>45289.0</v>
      </c>
      <c r="C1180" s="5">
        <v>212.830363872823</v>
      </c>
      <c r="D1180" s="5">
        <v>182.276222484066</v>
      </c>
      <c r="E1180" s="5">
        <v>261.683899830437</v>
      </c>
      <c r="F1180" s="5">
        <v>212.830363872823</v>
      </c>
      <c r="G1180" s="5">
        <v>212.830363872823</v>
      </c>
      <c r="H1180" s="5">
        <v>7.812500187466</v>
      </c>
      <c r="I1180" s="5">
        <v>7.812500187466</v>
      </c>
      <c r="J1180" s="5">
        <v>7.812500187466</v>
      </c>
      <c r="K1180" s="5">
        <v>-0.739640081281273</v>
      </c>
      <c r="L1180" s="5">
        <v>-0.739640081281273</v>
      </c>
      <c r="M1180" s="5">
        <v>-0.739640081281273</v>
      </c>
      <c r="N1180" s="5">
        <v>8.55214026874727</v>
      </c>
      <c r="O1180" s="5">
        <v>8.55214026874727</v>
      </c>
      <c r="P1180" s="5">
        <v>8.55214026874727</v>
      </c>
      <c r="Q1180" s="5">
        <v>0.0</v>
      </c>
      <c r="R1180" s="5">
        <v>0.0</v>
      </c>
      <c r="S1180" s="5">
        <v>0.0</v>
      </c>
      <c r="T1180" s="5">
        <v>220.642864060289</v>
      </c>
    </row>
    <row r="1181">
      <c r="A1181" s="5">
        <v>1179.0</v>
      </c>
      <c r="B1181" s="6">
        <v>45293.0</v>
      </c>
      <c r="C1181" s="5">
        <v>212.898527766004</v>
      </c>
      <c r="D1181" s="5">
        <v>185.331560723101</v>
      </c>
      <c r="E1181" s="5">
        <v>264.29286201352</v>
      </c>
      <c r="F1181" s="5">
        <v>212.898527766004</v>
      </c>
      <c r="G1181" s="5">
        <v>212.898527766004</v>
      </c>
      <c r="H1181" s="5">
        <v>11.6893946739837</v>
      </c>
      <c r="I1181" s="5">
        <v>11.6893946739837</v>
      </c>
      <c r="J1181" s="5">
        <v>11.6893946739837</v>
      </c>
      <c r="K1181" s="5">
        <v>0.247324772139818</v>
      </c>
      <c r="L1181" s="5">
        <v>0.247324772139818</v>
      </c>
      <c r="M1181" s="5">
        <v>0.247324772139818</v>
      </c>
      <c r="N1181" s="5">
        <v>11.4420699018439</v>
      </c>
      <c r="O1181" s="5">
        <v>11.4420699018439</v>
      </c>
      <c r="P1181" s="5">
        <v>11.4420699018439</v>
      </c>
      <c r="Q1181" s="5">
        <v>0.0</v>
      </c>
      <c r="R1181" s="5">
        <v>0.0</v>
      </c>
      <c r="S1181" s="5">
        <v>0.0</v>
      </c>
      <c r="T1181" s="5">
        <v>224.587922439988</v>
      </c>
    </row>
    <row r="1182">
      <c r="A1182" s="5">
        <v>1180.0</v>
      </c>
      <c r="B1182" s="6">
        <v>45294.0</v>
      </c>
      <c r="C1182" s="5">
        <v>212.9155687393</v>
      </c>
      <c r="D1182" s="5">
        <v>184.055435730347</v>
      </c>
      <c r="E1182" s="5">
        <v>265.847693548748</v>
      </c>
      <c r="F1182" s="5">
        <v>212.9155687393</v>
      </c>
      <c r="G1182" s="5">
        <v>212.9155687393</v>
      </c>
      <c r="H1182" s="5">
        <v>12.7159154360048</v>
      </c>
      <c r="I1182" s="5">
        <v>12.7159154360048</v>
      </c>
      <c r="J1182" s="5">
        <v>12.7159154360048</v>
      </c>
      <c r="K1182" s="5">
        <v>0.608132553628462</v>
      </c>
      <c r="L1182" s="5">
        <v>0.608132553628462</v>
      </c>
      <c r="M1182" s="5">
        <v>0.608132553628462</v>
      </c>
      <c r="N1182" s="5">
        <v>12.1077828823764</v>
      </c>
      <c r="O1182" s="5">
        <v>12.1077828823764</v>
      </c>
      <c r="P1182" s="5">
        <v>12.1077828823764</v>
      </c>
      <c r="Q1182" s="5">
        <v>0.0</v>
      </c>
      <c r="R1182" s="5">
        <v>0.0</v>
      </c>
      <c r="S1182" s="5">
        <v>0.0</v>
      </c>
      <c r="T1182" s="5">
        <v>225.631484175305</v>
      </c>
    </row>
    <row r="1183">
      <c r="A1183" s="5">
        <v>1181.0</v>
      </c>
      <c r="B1183" s="6">
        <v>45295.0</v>
      </c>
      <c r="C1183" s="5">
        <v>212.932609712595</v>
      </c>
      <c r="D1183" s="5">
        <v>184.018992589069</v>
      </c>
      <c r="E1183" s="5">
        <v>263.128660059308</v>
      </c>
      <c r="F1183" s="5">
        <v>212.932609712595</v>
      </c>
      <c r="G1183" s="5">
        <v>212.932609712595</v>
      </c>
      <c r="H1183" s="5">
        <v>12.4824245268669</v>
      </c>
      <c r="I1183" s="5">
        <v>12.4824245268669</v>
      </c>
      <c r="J1183" s="5">
        <v>12.4824245268669</v>
      </c>
      <c r="K1183" s="5">
        <v>-0.225417905347553</v>
      </c>
      <c r="L1183" s="5">
        <v>-0.225417905347553</v>
      </c>
      <c r="M1183" s="5">
        <v>-0.225417905347553</v>
      </c>
      <c r="N1183" s="5">
        <v>12.7078424322144</v>
      </c>
      <c r="O1183" s="5">
        <v>12.7078424322144</v>
      </c>
      <c r="P1183" s="5">
        <v>12.7078424322144</v>
      </c>
      <c r="Q1183" s="5">
        <v>0.0</v>
      </c>
      <c r="R1183" s="5">
        <v>0.0</v>
      </c>
      <c r="S1183" s="5">
        <v>0.0</v>
      </c>
      <c r="T1183" s="5">
        <v>225.415034239462</v>
      </c>
    </row>
    <row r="1184">
      <c r="A1184" s="5">
        <v>1182.0</v>
      </c>
      <c r="B1184" s="6">
        <v>45296.0</v>
      </c>
      <c r="C1184" s="5">
        <v>212.94965068589</v>
      </c>
      <c r="D1184" s="5">
        <v>184.448309131126</v>
      </c>
      <c r="E1184" s="5">
        <v>266.210617291882</v>
      </c>
      <c r="F1184" s="5">
        <v>212.94965068589</v>
      </c>
      <c r="G1184" s="5">
        <v>212.94965068589</v>
      </c>
      <c r="H1184" s="5">
        <v>12.4834227095781</v>
      </c>
      <c r="I1184" s="5">
        <v>12.4834227095781</v>
      </c>
      <c r="J1184" s="5">
        <v>12.4834227095781</v>
      </c>
      <c r="K1184" s="5">
        <v>-0.739640081283799</v>
      </c>
      <c r="L1184" s="5">
        <v>-0.739640081283799</v>
      </c>
      <c r="M1184" s="5">
        <v>-0.739640081283799</v>
      </c>
      <c r="N1184" s="5">
        <v>13.2230627908619</v>
      </c>
      <c r="O1184" s="5">
        <v>13.2230627908619</v>
      </c>
      <c r="P1184" s="5">
        <v>13.2230627908619</v>
      </c>
      <c r="Q1184" s="5">
        <v>0.0</v>
      </c>
      <c r="R1184" s="5">
        <v>0.0</v>
      </c>
      <c r="S1184" s="5">
        <v>0.0</v>
      </c>
      <c r="T1184" s="5">
        <v>225.433073395468</v>
      </c>
    </row>
    <row r="1185">
      <c r="A1185" s="5">
        <v>1183.0</v>
      </c>
      <c r="B1185" s="6">
        <v>45299.0</v>
      </c>
      <c r="C1185" s="5">
        <v>213.000773605776</v>
      </c>
      <c r="D1185" s="5">
        <v>191.287681684484</v>
      </c>
      <c r="E1185" s="5">
        <v>269.215665552212</v>
      </c>
      <c r="F1185" s="5">
        <v>213.000773605776</v>
      </c>
      <c r="G1185" s="5">
        <v>213.000773605776</v>
      </c>
      <c r="H1185" s="5">
        <v>15.2685818825964</v>
      </c>
      <c r="I1185" s="5">
        <v>15.2685818825964</v>
      </c>
      <c r="J1185" s="5">
        <v>15.2685818825964</v>
      </c>
      <c r="K1185" s="5">
        <v>1.16457933345029</v>
      </c>
      <c r="L1185" s="5">
        <v>1.16457933345029</v>
      </c>
      <c r="M1185" s="5">
        <v>1.16457933345029</v>
      </c>
      <c r="N1185" s="5">
        <v>14.1040025491461</v>
      </c>
      <c r="O1185" s="5">
        <v>14.1040025491461</v>
      </c>
      <c r="P1185" s="5">
        <v>14.1040025491461</v>
      </c>
      <c r="Q1185" s="5">
        <v>0.0</v>
      </c>
      <c r="R1185" s="5">
        <v>0.0</v>
      </c>
      <c r="S1185" s="5">
        <v>0.0</v>
      </c>
      <c r="T1185" s="5">
        <v>228.269355488373</v>
      </c>
    </row>
    <row r="1186">
      <c r="A1186" s="5">
        <v>1184.0</v>
      </c>
      <c r="B1186" s="6">
        <v>45300.0</v>
      </c>
      <c r="C1186" s="5">
        <v>213.017814579071</v>
      </c>
      <c r="D1186" s="5">
        <v>185.970530816764</v>
      </c>
      <c r="E1186" s="5">
        <v>265.803097665887</v>
      </c>
      <c r="F1186" s="5">
        <v>213.017814579071</v>
      </c>
      <c r="G1186" s="5">
        <v>213.017814579071</v>
      </c>
      <c r="H1186" s="5">
        <v>14.3866773501101</v>
      </c>
      <c r="I1186" s="5">
        <v>14.3866773501101</v>
      </c>
      <c r="J1186" s="5">
        <v>14.3866773501101</v>
      </c>
      <c r="K1186" s="5">
        <v>0.247324772139906</v>
      </c>
      <c r="L1186" s="5">
        <v>0.247324772139906</v>
      </c>
      <c r="M1186" s="5">
        <v>0.247324772139906</v>
      </c>
      <c r="N1186" s="5">
        <v>14.1393525779702</v>
      </c>
      <c r="O1186" s="5">
        <v>14.1393525779702</v>
      </c>
      <c r="P1186" s="5">
        <v>14.1393525779702</v>
      </c>
      <c r="Q1186" s="5">
        <v>0.0</v>
      </c>
      <c r="R1186" s="5">
        <v>0.0</v>
      </c>
      <c r="S1186" s="5">
        <v>0.0</v>
      </c>
      <c r="T1186" s="5">
        <v>227.404491929182</v>
      </c>
    </row>
    <row r="1187">
      <c r="A1187" s="5">
        <v>1185.0</v>
      </c>
      <c r="B1187" s="6">
        <v>45301.0</v>
      </c>
      <c r="C1187" s="5">
        <v>213.034855552367</v>
      </c>
      <c r="D1187" s="5">
        <v>187.379992662904</v>
      </c>
      <c r="E1187" s="5">
        <v>266.159599324989</v>
      </c>
      <c r="F1187" s="5">
        <v>213.034855552367</v>
      </c>
      <c r="G1187" s="5">
        <v>213.034855552367</v>
      </c>
      <c r="H1187" s="5">
        <v>14.6440877535747</v>
      </c>
      <c r="I1187" s="5">
        <v>14.6440877535747</v>
      </c>
      <c r="J1187" s="5">
        <v>14.6440877535747</v>
      </c>
      <c r="K1187" s="5">
        <v>0.608132553624904</v>
      </c>
      <c r="L1187" s="5">
        <v>0.608132553624904</v>
      </c>
      <c r="M1187" s="5">
        <v>0.608132553624904</v>
      </c>
      <c r="N1187" s="5">
        <v>14.0359551999498</v>
      </c>
      <c r="O1187" s="5">
        <v>14.0359551999498</v>
      </c>
      <c r="P1187" s="5">
        <v>14.0359551999498</v>
      </c>
      <c r="Q1187" s="5">
        <v>0.0</v>
      </c>
      <c r="R1187" s="5">
        <v>0.0</v>
      </c>
      <c r="S1187" s="5">
        <v>0.0</v>
      </c>
      <c r="T1187" s="5">
        <v>227.678943305941</v>
      </c>
    </row>
    <row r="1188">
      <c r="A1188" s="5">
        <v>1186.0</v>
      </c>
      <c r="B1188" s="6">
        <v>45302.0</v>
      </c>
      <c r="C1188" s="5">
        <v>213.051896525662</v>
      </c>
      <c r="D1188" s="5">
        <v>187.664391716616</v>
      </c>
      <c r="E1188" s="5">
        <v>270.259238324374</v>
      </c>
      <c r="F1188" s="5">
        <v>213.051896525662</v>
      </c>
      <c r="G1188" s="5">
        <v>213.051896525662</v>
      </c>
      <c r="H1188" s="5">
        <v>13.5683299690098</v>
      </c>
      <c r="I1188" s="5">
        <v>13.5683299690098</v>
      </c>
      <c r="J1188" s="5">
        <v>13.5683299690098</v>
      </c>
      <c r="K1188" s="5">
        <v>-0.225417905350518</v>
      </c>
      <c r="L1188" s="5">
        <v>-0.225417905350518</v>
      </c>
      <c r="M1188" s="5">
        <v>-0.225417905350518</v>
      </c>
      <c r="N1188" s="5">
        <v>13.7937478743603</v>
      </c>
      <c r="O1188" s="5">
        <v>13.7937478743603</v>
      </c>
      <c r="P1188" s="5">
        <v>13.7937478743603</v>
      </c>
      <c r="Q1188" s="5">
        <v>0.0</v>
      </c>
      <c r="R1188" s="5">
        <v>0.0</v>
      </c>
      <c r="S1188" s="5">
        <v>0.0</v>
      </c>
      <c r="T1188" s="5">
        <v>226.620226494672</v>
      </c>
    </row>
    <row r="1189">
      <c r="A1189" s="5">
        <v>1187.0</v>
      </c>
      <c r="B1189" s="6">
        <v>45303.0</v>
      </c>
      <c r="C1189" s="5">
        <v>213.068937498957</v>
      </c>
      <c r="D1189" s="5">
        <v>186.560815555448</v>
      </c>
      <c r="E1189" s="5">
        <v>264.988015296099</v>
      </c>
      <c r="F1189" s="5">
        <v>213.068937498957</v>
      </c>
      <c r="G1189" s="5">
        <v>213.068937498957</v>
      </c>
      <c r="H1189" s="5">
        <v>12.6769247304119</v>
      </c>
      <c r="I1189" s="5">
        <v>12.6769247304119</v>
      </c>
      <c r="J1189" s="5">
        <v>12.6769247304119</v>
      </c>
      <c r="K1189" s="5">
        <v>-0.739640081281523</v>
      </c>
      <c r="L1189" s="5">
        <v>-0.739640081281523</v>
      </c>
      <c r="M1189" s="5">
        <v>-0.739640081281523</v>
      </c>
      <c r="N1189" s="5">
        <v>13.4165648116934</v>
      </c>
      <c r="O1189" s="5">
        <v>13.4165648116934</v>
      </c>
      <c r="P1189" s="5">
        <v>13.4165648116934</v>
      </c>
      <c r="Q1189" s="5">
        <v>0.0</v>
      </c>
      <c r="R1189" s="5">
        <v>0.0</v>
      </c>
      <c r="S1189" s="5">
        <v>0.0</v>
      </c>
      <c r="T1189" s="5">
        <v>225.745862229369</v>
      </c>
    </row>
    <row r="1190">
      <c r="A1190" s="5">
        <v>1188.0</v>
      </c>
      <c r="B1190" s="6">
        <v>45307.0</v>
      </c>
      <c r="C1190" s="5">
        <v>213.137101392138</v>
      </c>
      <c r="D1190" s="5">
        <v>184.744972342512</v>
      </c>
      <c r="E1190" s="5">
        <v>264.16703222308</v>
      </c>
      <c r="F1190" s="5">
        <v>213.137101392138</v>
      </c>
      <c r="G1190" s="5">
        <v>213.137101392138</v>
      </c>
      <c r="H1190" s="5">
        <v>11.0113195816144</v>
      </c>
      <c r="I1190" s="5">
        <v>11.0113195816144</v>
      </c>
      <c r="J1190" s="5">
        <v>11.0113195816144</v>
      </c>
      <c r="K1190" s="5">
        <v>0.247324772139995</v>
      </c>
      <c r="L1190" s="5">
        <v>0.247324772139995</v>
      </c>
      <c r="M1190" s="5">
        <v>0.247324772139995</v>
      </c>
      <c r="N1190" s="5">
        <v>10.7639948094745</v>
      </c>
      <c r="O1190" s="5">
        <v>10.7639948094745</v>
      </c>
      <c r="P1190" s="5">
        <v>10.7639948094745</v>
      </c>
      <c r="Q1190" s="5">
        <v>0.0</v>
      </c>
      <c r="R1190" s="5">
        <v>0.0</v>
      </c>
      <c r="S1190" s="5">
        <v>0.0</v>
      </c>
      <c r="T1190" s="5">
        <v>224.148420973753</v>
      </c>
    </row>
    <row r="1191">
      <c r="A1191" s="5">
        <v>1189.0</v>
      </c>
      <c r="B1191" s="6">
        <v>45308.0</v>
      </c>
      <c r="C1191" s="5">
        <v>213.154142365433</v>
      </c>
      <c r="D1191" s="5">
        <v>182.37361456206</v>
      </c>
      <c r="E1191" s="5">
        <v>261.27107044557</v>
      </c>
      <c r="F1191" s="5">
        <v>213.154142365433</v>
      </c>
      <c r="G1191" s="5">
        <v>213.154142365433</v>
      </c>
      <c r="H1191" s="5">
        <v>10.5028453816558</v>
      </c>
      <c r="I1191" s="5">
        <v>10.5028453816558</v>
      </c>
      <c r="J1191" s="5">
        <v>10.5028453816558</v>
      </c>
      <c r="K1191" s="5">
        <v>0.608132553626683</v>
      </c>
      <c r="L1191" s="5">
        <v>0.608132553626683</v>
      </c>
      <c r="M1191" s="5">
        <v>0.608132553626683</v>
      </c>
      <c r="N1191" s="5">
        <v>9.89471282802917</v>
      </c>
      <c r="O1191" s="5">
        <v>9.89471282802917</v>
      </c>
      <c r="P1191" s="5">
        <v>9.89471282802917</v>
      </c>
      <c r="Q1191" s="5">
        <v>0.0</v>
      </c>
      <c r="R1191" s="5">
        <v>0.0</v>
      </c>
      <c r="S1191" s="5">
        <v>0.0</v>
      </c>
      <c r="T1191" s="5">
        <v>223.656987747089</v>
      </c>
    </row>
    <row r="1192">
      <c r="A1192" s="5">
        <v>1190.0</v>
      </c>
      <c r="B1192" s="6">
        <v>45309.0</v>
      </c>
      <c r="C1192" s="5">
        <v>213.171183338729</v>
      </c>
      <c r="D1192" s="5">
        <v>184.681053622679</v>
      </c>
      <c r="E1192" s="5">
        <v>261.233449546966</v>
      </c>
      <c r="F1192" s="5">
        <v>213.171183338729</v>
      </c>
      <c r="G1192" s="5">
        <v>213.171183338729</v>
      </c>
      <c r="H1192" s="5">
        <v>8.75844827004844</v>
      </c>
      <c r="I1192" s="5">
        <v>8.75844827004844</v>
      </c>
      <c r="J1192" s="5">
        <v>8.75844827004844</v>
      </c>
      <c r="K1192" s="5">
        <v>-0.225417905350097</v>
      </c>
      <c r="L1192" s="5">
        <v>-0.225417905350097</v>
      </c>
      <c r="M1192" s="5">
        <v>-0.225417905350097</v>
      </c>
      <c r="N1192" s="5">
        <v>8.98386617539854</v>
      </c>
      <c r="O1192" s="5">
        <v>8.98386617539854</v>
      </c>
      <c r="P1192" s="5">
        <v>8.98386617539854</v>
      </c>
      <c r="Q1192" s="5">
        <v>0.0</v>
      </c>
      <c r="R1192" s="5">
        <v>0.0</v>
      </c>
      <c r="S1192" s="5">
        <v>0.0</v>
      </c>
      <c r="T1192" s="5">
        <v>221.929631608777</v>
      </c>
    </row>
    <row r="1193">
      <c r="A1193" s="5">
        <v>1191.0</v>
      </c>
      <c r="B1193" s="6">
        <v>45310.0</v>
      </c>
      <c r="C1193" s="5">
        <v>213.188224312024</v>
      </c>
      <c r="D1193" s="5">
        <v>179.992480316909</v>
      </c>
      <c r="E1193" s="5">
        <v>258.961064427652</v>
      </c>
      <c r="F1193" s="5">
        <v>213.188224312024</v>
      </c>
      <c r="G1193" s="5">
        <v>213.188224312024</v>
      </c>
      <c r="H1193" s="5">
        <v>7.31522828673224</v>
      </c>
      <c r="I1193" s="5">
        <v>7.31522828673224</v>
      </c>
      <c r="J1193" s="5">
        <v>7.31522828673224</v>
      </c>
      <c r="K1193" s="5">
        <v>-0.739640081279246</v>
      </c>
      <c r="L1193" s="5">
        <v>-0.739640081279246</v>
      </c>
      <c r="M1193" s="5">
        <v>-0.739640081279246</v>
      </c>
      <c r="N1193" s="5">
        <v>8.05486836801148</v>
      </c>
      <c r="O1193" s="5">
        <v>8.05486836801148</v>
      </c>
      <c r="P1193" s="5">
        <v>8.05486836801148</v>
      </c>
      <c r="Q1193" s="5">
        <v>0.0</v>
      </c>
      <c r="R1193" s="5">
        <v>0.0</v>
      </c>
      <c r="S1193" s="5">
        <v>0.0</v>
      </c>
      <c r="T1193" s="5">
        <v>220.503452598756</v>
      </c>
    </row>
    <row r="1194">
      <c r="A1194" s="5">
        <v>1192.0</v>
      </c>
      <c r="B1194" s="6">
        <v>45313.0</v>
      </c>
      <c r="C1194" s="5">
        <v>213.23934723191</v>
      </c>
      <c r="D1194" s="5">
        <v>179.580605026788</v>
      </c>
      <c r="E1194" s="5">
        <v>259.757505338453</v>
      </c>
      <c r="F1194" s="5">
        <v>213.23934723191</v>
      </c>
      <c r="G1194" s="5">
        <v>213.23934723191</v>
      </c>
      <c r="H1194" s="5">
        <v>6.56398698955364</v>
      </c>
      <c r="I1194" s="5">
        <v>6.56398698955364</v>
      </c>
      <c r="J1194" s="5">
        <v>6.56398698955364</v>
      </c>
      <c r="K1194" s="5">
        <v>1.16457933345096</v>
      </c>
      <c r="L1194" s="5">
        <v>1.16457933345096</v>
      </c>
      <c r="M1194" s="5">
        <v>1.16457933345096</v>
      </c>
      <c r="N1194" s="5">
        <v>5.39940765610267</v>
      </c>
      <c r="O1194" s="5">
        <v>5.39940765610267</v>
      </c>
      <c r="P1194" s="5">
        <v>5.39940765610267</v>
      </c>
      <c r="Q1194" s="5">
        <v>0.0</v>
      </c>
      <c r="R1194" s="5">
        <v>0.0</v>
      </c>
      <c r="S1194" s="5">
        <v>0.0</v>
      </c>
      <c r="T1194" s="5">
        <v>219.803334221463</v>
      </c>
    </row>
    <row r="1195">
      <c r="A1195" s="5">
        <v>1193.0</v>
      </c>
      <c r="B1195" s="6">
        <v>45314.0</v>
      </c>
      <c r="C1195" s="5">
        <v>213.256388205205</v>
      </c>
      <c r="D1195" s="5">
        <v>178.181935037681</v>
      </c>
      <c r="E1195" s="5">
        <v>257.430839838528</v>
      </c>
      <c r="F1195" s="5">
        <v>213.256388205205</v>
      </c>
      <c r="G1195" s="5">
        <v>213.256388205205</v>
      </c>
      <c r="H1195" s="5">
        <v>4.8829011839821</v>
      </c>
      <c r="I1195" s="5">
        <v>4.8829011839821</v>
      </c>
      <c r="J1195" s="5">
        <v>4.8829011839821</v>
      </c>
      <c r="K1195" s="5">
        <v>0.24732477213866</v>
      </c>
      <c r="L1195" s="5">
        <v>0.24732477213866</v>
      </c>
      <c r="M1195" s="5">
        <v>0.24732477213866</v>
      </c>
      <c r="N1195" s="5">
        <v>4.63557641184344</v>
      </c>
      <c r="O1195" s="5">
        <v>4.63557641184344</v>
      </c>
      <c r="P1195" s="5">
        <v>4.63557641184344</v>
      </c>
      <c r="Q1195" s="5">
        <v>0.0</v>
      </c>
      <c r="R1195" s="5">
        <v>0.0</v>
      </c>
      <c r="S1195" s="5">
        <v>0.0</v>
      </c>
      <c r="T1195" s="5">
        <v>218.139289389187</v>
      </c>
    </row>
    <row r="1196">
      <c r="A1196" s="5">
        <v>1194.0</v>
      </c>
      <c r="B1196" s="6">
        <v>45315.0</v>
      </c>
      <c r="C1196" s="5">
        <v>213.2734291785</v>
      </c>
      <c r="D1196" s="5">
        <v>178.658326564086</v>
      </c>
      <c r="E1196" s="5">
        <v>257.316203969242</v>
      </c>
      <c r="F1196" s="5">
        <v>213.2734291785</v>
      </c>
      <c r="G1196" s="5">
        <v>213.2734291785</v>
      </c>
      <c r="H1196" s="5">
        <v>4.57559578433062</v>
      </c>
      <c r="I1196" s="5">
        <v>4.57559578433062</v>
      </c>
      <c r="J1196" s="5">
        <v>4.57559578433062</v>
      </c>
      <c r="K1196" s="5">
        <v>0.608132553627348</v>
      </c>
      <c r="L1196" s="5">
        <v>0.608132553627348</v>
      </c>
      <c r="M1196" s="5">
        <v>0.608132553627348</v>
      </c>
      <c r="N1196" s="5">
        <v>3.96746323070327</v>
      </c>
      <c r="O1196" s="5">
        <v>3.96746323070327</v>
      </c>
      <c r="P1196" s="5">
        <v>3.96746323070327</v>
      </c>
      <c r="Q1196" s="5">
        <v>0.0</v>
      </c>
      <c r="R1196" s="5">
        <v>0.0</v>
      </c>
      <c r="S1196" s="5">
        <v>0.0</v>
      </c>
      <c r="T1196" s="5">
        <v>217.849024962831</v>
      </c>
    </row>
    <row r="1197">
      <c r="A1197" s="5">
        <v>1195.0</v>
      </c>
      <c r="B1197" s="6">
        <v>45316.0</v>
      </c>
      <c r="C1197" s="5">
        <v>213.290470151796</v>
      </c>
      <c r="D1197" s="5">
        <v>177.805429384072</v>
      </c>
      <c r="E1197" s="5">
        <v>256.959168317756</v>
      </c>
      <c r="F1197" s="5">
        <v>213.290470151796</v>
      </c>
      <c r="G1197" s="5">
        <v>213.290470151796</v>
      </c>
      <c r="H1197" s="5">
        <v>3.18715566878828</v>
      </c>
      <c r="I1197" s="5">
        <v>3.18715566878828</v>
      </c>
      <c r="J1197" s="5">
        <v>3.18715566878828</v>
      </c>
      <c r="K1197" s="5">
        <v>-0.225417905353061</v>
      </c>
      <c r="L1197" s="5">
        <v>-0.225417905353061</v>
      </c>
      <c r="M1197" s="5">
        <v>-0.225417905353061</v>
      </c>
      <c r="N1197" s="5">
        <v>3.41257357414135</v>
      </c>
      <c r="O1197" s="5">
        <v>3.41257357414135</v>
      </c>
      <c r="P1197" s="5">
        <v>3.41257357414135</v>
      </c>
      <c r="Q1197" s="5">
        <v>0.0</v>
      </c>
      <c r="R1197" s="5">
        <v>0.0</v>
      </c>
      <c r="S1197" s="5">
        <v>0.0</v>
      </c>
      <c r="T1197" s="5">
        <v>216.477625820584</v>
      </c>
    </row>
    <row r="1198">
      <c r="A1198" s="5">
        <v>1196.0</v>
      </c>
      <c r="B1198" s="6">
        <v>45317.0</v>
      </c>
      <c r="C1198" s="5">
        <v>213.307511125091</v>
      </c>
      <c r="D1198" s="5">
        <v>174.416228413757</v>
      </c>
      <c r="E1198" s="5">
        <v>256.367008070309</v>
      </c>
      <c r="F1198" s="5">
        <v>213.307511125091</v>
      </c>
      <c r="G1198" s="5">
        <v>213.307511125091</v>
      </c>
      <c r="H1198" s="5">
        <v>2.24564295821502</v>
      </c>
      <c r="I1198" s="5">
        <v>2.24564295821502</v>
      </c>
      <c r="J1198" s="5">
        <v>2.24564295821502</v>
      </c>
      <c r="K1198" s="5">
        <v>-0.739640081280402</v>
      </c>
      <c r="L1198" s="5">
        <v>-0.739640081280402</v>
      </c>
      <c r="M1198" s="5">
        <v>-0.739640081280402</v>
      </c>
      <c r="N1198" s="5">
        <v>2.98528303949542</v>
      </c>
      <c r="O1198" s="5">
        <v>2.98528303949542</v>
      </c>
      <c r="P1198" s="5">
        <v>2.98528303949542</v>
      </c>
      <c r="Q1198" s="5">
        <v>0.0</v>
      </c>
      <c r="R1198" s="5">
        <v>0.0</v>
      </c>
      <c r="S1198" s="5">
        <v>0.0</v>
      </c>
      <c r="T1198" s="5">
        <v>215.553154083306</v>
      </c>
    </row>
    <row r="1199">
      <c r="A1199" s="5">
        <v>1197.0</v>
      </c>
      <c r="B1199" s="6">
        <v>45320.0</v>
      </c>
      <c r="C1199" s="5">
        <v>213.358634044977</v>
      </c>
      <c r="D1199" s="5">
        <v>177.699381373583</v>
      </c>
      <c r="E1199" s="5">
        <v>258.032124438351</v>
      </c>
      <c r="F1199" s="5">
        <v>213.358634044977</v>
      </c>
      <c r="G1199" s="5">
        <v>213.358634044977</v>
      </c>
      <c r="H1199" s="5">
        <v>3.72150752780763</v>
      </c>
      <c r="I1199" s="5">
        <v>3.72150752780763</v>
      </c>
      <c r="J1199" s="5">
        <v>3.72150752780763</v>
      </c>
      <c r="K1199" s="5">
        <v>1.16457933344958</v>
      </c>
      <c r="L1199" s="5">
        <v>1.16457933344958</v>
      </c>
      <c r="M1199" s="5">
        <v>1.16457933344958</v>
      </c>
      <c r="N1199" s="5">
        <v>2.55692819435804</v>
      </c>
      <c r="O1199" s="5">
        <v>2.55692819435804</v>
      </c>
      <c r="P1199" s="5">
        <v>2.55692819435804</v>
      </c>
      <c r="Q1199" s="5">
        <v>0.0</v>
      </c>
      <c r="R1199" s="5">
        <v>0.0</v>
      </c>
      <c r="S1199" s="5">
        <v>0.0</v>
      </c>
      <c r="T1199" s="5">
        <v>217.080141572784</v>
      </c>
    </row>
    <row r="1200">
      <c r="A1200" s="5">
        <v>1198.0</v>
      </c>
      <c r="B1200" s="6">
        <v>45321.0</v>
      </c>
      <c r="C1200" s="5">
        <v>213.375675018272</v>
      </c>
      <c r="D1200" s="5">
        <v>178.887484234639</v>
      </c>
      <c r="E1200" s="5">
        <v>256.756435806736</v>
      </c>
      <c r="F1200" s="5">
        <v>213.375675018272</v>
      </c>
      <c r="G1200" s="5">
        <v>213.375675018272</v>
      </c>
      <c r="H1200" s="5">
        <v>2.95463167855233</v>
      </c>
      <c r="I1200" s="5">
        <v>2.95463167855233</v>
      </c>
      <c r="J1200" s="5">
        <v>2.95463167855233</v>
      </c>
      <c r="K1200" s="5">
        <v>0.247324772137326</v>
      </c>
      <c r="L1200" s="5">
        <v>0.247324772137326</v>
      </c>
      <c r="M1200" s="5">
        <v>0.247324772137326</v>
      </c>
      <c r="N1200" s="5">
        <v>2.707306906415</v>
      </c>
      <c r="O1200" s="5">
        <v>2.707306906415</v>
      </c>
      <c r="P1200" s="5">
        <v>2.707306906415</v>
      </c>
      <c r="Q1200" s="5">
        <v>0.0</v>
      </c>
      <c r="R1200" s="5">
        <v>0.0</v>
      </c>
      <c r="S1200" s="5">
        <v>0.0</v>
      </c>
      <c r="T1200" s="5">
        <v>216.330306696824</v>
      </c>
    </row>
    <row r="1201">
      <c r="A1201" s="5">
        <v>1199.0</v>
      </c>
      <c r="B1201" s="6">
        <v>45322.0</v>
      </c>
      <c r="C1201" s="5">
        <v>213.392715991567</v>
      </c>
      <c r="D1201" s="5">
        <v>176.964503069046</v>
      </c>
      <c r="E1201" s="5">
        <v>257.867611869365</v>
      </c>
      <c r="F1201" s="5">
        <v>213.392715991567</v>
      </c>
      <c r="G1201" s="5">
        <v>213.392715991567</v>
      </c>
      <c r="H1201" s="5">
        <v>3.60589956079357</v>
      </c>
      <c r="I1201" s="5">
        <v>3.60589956079357</v>
      </c>
      <c r="J1201" s="5">
        <v>3.60589956079357</v>
      </c>
      <c r="K1201" s="5">
        <v>0.608132553626458</v>
      </c>
      <c r="L1201" s="5">
        <v>0.608132553626458</v>
      </c>
      <c r="M1201" s="5">
        <v>0.608132553626458</v>
      </c>
      <c r="N1201" s="5">
        <v>2.99776700716711</v>
      </c>
      <c r="O1201" s="5">
        <v>2.99776700716711</v>
      </c>
      <c r="P1201" s="5">
        <v>2.99776700716711</v>
      </c>
      <c r="Q1201" s="5">
        <v>0.0</v>
      </c>
      <c r="R1201" s="5">
        <v>0.0</v>
      </c>
      <c r="S1201" s="5">
        <v>0.0</v>
      </c>
      <c r="T1201" s="5">
        <v>216.998615552361</v>
      </c>
    </row>
    <row r="1202">
      <c r="A1202" s="5">
        <v>1200.0</v>
      </c>
      <c r="B1202" s="6">
        <v>45323.0</v>
      </c>
      <c r="C1202" s="5">
        <v>213.409756964863</v>
      </c>
      <c r="D1202" s="5">
        <v>177.020420647682</v>
      </c>
      <c r="E1202" s="5">
        <v>259.240062970645</v>
      </c>
      <c r="F1202" s="5">
        <v>213.409756964863</v>
      </c>
      <c r="G1202" s="5">
        <v>213.409756964863</v>
      </c>
      <c r="H1202" s="5">
        <v>3.19251617996863</v>
      </c>
      <c r="I1202" s="5">
        <v>3.19251617996863</v>
      </c>
      <c r="J1202" s="5">
        <v>3.19251617996863</v>
      </c>
      <c r="K1202" s="5">
        <v>-0.225417905343943</v>
      </c>
      <c r="L1202" s="5">
        <v>-0.225417905343943</v>
      </c>
      <c r="M1202" s="5">
        <v>-0.225417905343943</v>
      </c>
      <c r="N1202" s="5">
        <v>3.41793408531258</v>
      </c>
      <c r="O1202" s="5">
        <v>3.41793408531258</v>
      </c>
      <c r="P1202" s="5">
        <v>3.41793408531258</v>
      </c>
      <c r="Q1202" s="5">
        <v>0.0</v>
      </c>
      <c r="R1202" s="5">
        <v>0.0</v>
      </c>
      <c r="S1202" s="5">
        <v>0.0</v>
      </c>
      <c r="T1202" s="5">
        <v>216.602273144831</v>
      </c>
    </row>
    <row r="1203">
      <c r="A1203" s="5">
        <v>1201.0</v>
      </c>
      <c r="B1203" s="6">
        <v>45324.0</v>
      </c>
      <c r="C1203" s="5">
        <v>213.426797938158</v>
      </c>
      <c r="D1203" s="5">
        <v>175.380609210895</v>
      </c>
      <c r="E1203" s="5">
        <v>254.948983007321</v>
      </c>
      <c r="F1203" s="5">
        <v>213.426797938158</v>
      </c>
      <c r="G1203" s="5">
        <v>213.426797938158</v>
      </c>
      <c r="H1203" s="5">
        <v>3.21371342655188</v>
      </c>
      <c r="I1203" s="5">
        <v>3.21371342655188</v>
      </c>
      <c r="J1203" s="5">
        <v>3.21371342655188</v>
      </c>
      <c r="K1203" s="5">
        <v>-0.739640081281557</v>
      </c>
      <c r="L1203" s="5">
        <v>-0.739640081281557</v>
      </c>
      <c r="M1203" s="5">
        <v>-0.739640081281557</v>
      </c>
      <c r="N1203" s="5">
        <v>3.95335350783344</v>
      </c>
      <c r="O1203" s="5">
        <v>3.95335350783344</v>
      </c>
      <c r="P1203" s="5">
        <v>3.95335350783344</v>
      </c>
      <c r="Q1203" s="5">
        <v>0.0</v>
      </c>
      <c r="R1203" s="5">
        <v>0.0</v>
      </c>
      <c r="S1203" s="5">
        <v>0.0</v>
      </c>
      <c r="T1203" s="5">
        <v>216.64051136471</v>
      </c>
    </row>
    <row r="1204">
      <c r="A1204" s="5">
        <v>1202.0</v>
      </c>
      <c r="B1204" s="6">
        <v>45327.0</v>
      </c>
      <c r="C1204" s="5">
        <v>213.477920858044</v>
      </c>
      <c r="D1204" s="5">
        <v>181.124445512075</v>
      </c>
      <c r="E1204" s="5">
        <v>259.958409793844</v>
      </c>
      <c r="F1204" s="5">
        <v>213.477920858044</v>
      </c>
      <c r="G1204" s="5">
        <v>213.477920858044</v>
      </c>
      <c r="H1204" s="5">
        <v>7.21741733155863</v>
      </c>
      <c r="I1204" s="5">
        <v>7.21741733155863</v>
      </c>
      <c r="J1204" s="5">
        <v>7.21741733155863</v>
      </c>
      <c r="K1204" s="5">
        <v>1.16457933344981</v>
      </c>
      <c r="L1204" s="5">
        <v>1.16457933344981</v>
      </c>
      <c r="M1204" s="5">
        <v>1.16457933344981</v>
      </c>
      <c r="N1204" s="5">
        <v>6.05283799810882</v>
      </c>
      <c r="O1204" s="5">
        <v>6.05283799810882</v>
      </c>
      <c r="P1204" s="5">
        <v>6.05283799810882</v>
      </c>
      <c r="Q1204" s="5">
        <v>0.0</v>
      </c>
      <c r="R1204" s="5">
        <v>0.0</v>
      </c>
      <c r="S1204" s="5">
        <v>0.0</v>
      </c>
      <c r="T1204" s="5">
        <v>220.695338189602</v>
      </c>
    </row>
    <row r="1205">
      <c r="A1205" s="5">
        <v>1203.0</v>
      </c>
      <c r="B1205" s="6">
        <v>45328.0</v>
      </c>
      <c r="C1205" s="5">
        <v>213.494961831339</v>
      </c>
      <c r="D1205" s="5">
        <v>181.711315432894</v>
      </c>
      <c r="E1205" s="5">
        <v>259.496484304634</v>
      </c>
      <c r="F1205" s="5">
        <v>213.494961831339</v>
      </c>
      <c r="G1205" s="5">
        <v>213.494961831339</v>
      </c>
      <c r="H1205" s="5">
        <v>7.08380154809186</v>
      </c>
      <c r="I1205" s="5">
        <v>7.08380154809186</v>
      </c>
      <c r="J1205" s="5">
        <v>7.08380154809186</v>
      </c>
      <c r="K1205" s="5">
        <v>0.247324772137414</v>
      </c>
      <c r="L1205" s="5">
        <v>0.247324772137414</v>
      </c>
      <c r="M1205" s="5">
        <v>0.247324772137414</v>
      </c>
      <c r="N1205" s="5">
        <v>6.83647677595445</v>
      </c>
      <c r="O1205" s="5">
        <v>6.83647677595445</v>
      </c>
      <c r="P1205" s="5">
        <v>6.83647677595445</v>
      </c>
      <c r="Q1205" s="5">
        <v>0.0</v>
      </c>
      <c r="R1205" s="5">
        <v>0.0</v>
      </c>
      <c r="S1205" s="5">
        <v>0.0</v>
      </c>
      <c r="T1205" s="5">
        <v>220.578763379431</v>
      </c>
    </row>
    <row r="1206">
      <c r="A1206" s="5">
        <v>1204.0</v>
      </c>
      <c r="B1206" s="6">
        <v>45329.0</v>
      </c>
      <c r="C1206" s="5">
        <v>213.512002804634</v>
      </c>
      <c r="D1206" s="5">
        <v>182.138006978282</v>
      </c>
      <c r="E1206" s="5">
        <v>263.544522416184</v>
      </c>
      <c r="F1206" s="5">
        <v>213.512002804634</v>
      </c>
      <c r="G1206" s="5">
        <v>213.512002804634</v>
      </c>
      <c r="H1206" s="5">
        <v>8.22469656835311</v>
      </c>
      <c r="I1206" s="5">
        <v>8.22469656835311</v>
      </c>
      <c r="J1206" s="5">
        <v>8.22469656835311</v>
      </c>
      <c r="K1206" s="5">
        <v>0.608132553625568</v>
      </c>
      <c r="L1206" s="5">
        <v>0.608132553625568</v>
      </c>
      <c r="M1206" s="5">
        <v>0.608132553625568</v>
      </c>
      <c r="N1206" s="5">
        <v>7.61656401472754</v>
      </c>
      <c r="O1206" s="5">
        <v>7.61656401472754</v>
      </c>
      <c r="P1206" s="5">
        <v>7.61656401472754</v>
      </c>
      <c r="Q1206" s="5">
        <v>0.0</v>
      </c>
      <c r="R1206" s="5">
        <v>0.0</v>
      </c>
      <c r="S1206" s="5">
        <v>0.0</v>
      </c>
      <c r="T1206" s="5">
        <v>221.736699372987</v>
      </c>
    </row>
    <row r="1207">
      <c r="A1207" s="5">
        <v>1205.0</v>
      </c>
      <c r="B1207" s="6">
        <v>45330.0</v>
      </c>
      <c r="C1207" s="5">
        <v>213.529043777929</v>
      </c>
      <c r="D1207" s="5">
        <v>180.021119302985</v>
      </c>
      <c r="E1207" s="5">
        <v>260.691045275132</v>
      </c>
      <c r="F1207" s="5">
        <v>213.529043777929</v>
      </c>
      <c r="G1207" s="5">
        <v>213.529043777929</v>
      </c>
      <c r="H1207" s="5">
        <v>8.13874630360455</v>
      </c>
      <c r="I1207" s="5">
        <v>8.13874630360455</v>
      </c>
      <c r="J1207" s="5">
        <v>8.13874630360455</v>
      </c>
      <c r="K1207" s="5">
        <v>-0.225417905346908</v>
      </c>
      <c r="L1207" s="5">
        <v>-0.225417905346908</v>
      </c>
      <c r="M1207" s="5">
        <v>-0.225417905346908</v>
      </c>
      <c r="N1207" s="5">
        <v>8.36416420895146</v>
      </c>
      <c r="O1207" s="5">
        <v>8.36416420895146</v>
      </c>
      <c r="P1207" s="5">
        <v>8.36416420895146</v>
      </c>
      <c r="Q1207" s="5">
        <v>0.0</v>
      </c>
      <c r="R1207" s="5">
        <v>0.0</v>
      </c>
      <c r="S1207" s="5">
        <v>0.0</v>
      </c>
      <c r="T1207" s="5">
        <v>221.667790081534</v>
      </c>
    </row>
    <row r="1208">
      <c r="A1208" s="5">
        <v>1206.0</v>
      </c>
      <c r="B1208" s="6">
        <v>45331.0</v>
      </c>
      <c r="C1208" s="5">
        <v>213.546084751225</v>
      </c>
      <c r="D1208" s="5">
        <v>180.756585067723</v>
      </c>
      <c r="E1208" s="5">
        <v>261.960604458743</v>
      </c>
      <c r="F1208" s="5">
        <v>213.546084751225</v>
      </c>
      <c r="G1208" s="5">
        <v>213.546084751225</v>
      </c>
      <c r="H1208" s="5">
        <v>8.31062566515717</v>
      </c>
      <c r="I1208" s="5">
        <v>8.31062566515717</v>
      </c>
      <c r="J1208" s="5">
        <v>8.31062566515717</v>
      </c>
      <c r="K1208" s="5">
        <v>-0.739640081280652</v>
      </c>
      <c r="L1208" s="5">
        <v>-0.739640081280652</v>
      </c>
      <c r="M1208" s="5">
        <v>-0.739640081280652</v>
      </c>
      <c r="N1208" s="5">
        <v>9.05026574643783</v>
      </c>
      <c r="O1208" s="5">
        <v>9.05026574643783</v>
      </c>
      <c r="P1208" s="5">
        <v>9.05026574643783</v>
      </c>
      <c r="Q1208" s="5">
        <v>0.0</v>
      </c>
      <c r="R1208" s="5">
        <v>0.0</v>
      </c>
      <c r="S1208" s="5">
        <v>0.0</v>
      </c>
      <c r="T1208" s="5">
        <v>221.856710416382</v>
      </c>
    </row>
    <row r="1209">
      <c r="A1209" s="5">
        <v>1207.0</v>
      </c>
      <c r="B1209" s="6">
        <v>45334.0</v>
      </c>
      <c r="C1209" s="5">
        <v>213.59720767111</v>
      </c>
      <c r="D1209" s="5">
        <v>185.957305084298</v>
      </c>
      <c r="E1209" s="5">
        <v>266.266645947777</v>
      </c>
      <c r="F1209" s="5">
        <v>213.59720767111</v>
      </c>
      <c r="G1209" s="5">
        <v>213.59720767111</v>
      </c>
      <c r="H1209" s="5">
        <v>11.6287372428916</v>
      </c>
      <c r="I1209" s="5">
        <v>11.6287372428916</v>
      </c>
      <c r="J1209" s="5">
        <v>11.6287372428916</v>
      </c>
      <c r="K1209" s="5">
        <v>1.16457933345025</v>
      </c>
      <c r="L1209" s="5">
        <v>1.16457933345025</v>
      </c>
      <c r="M1209" s="5">
        <v>1.16457933345025</v>
      </c>
      <c r="N1209" s="5">
        <v>10.4641579094413</v>
      </c>
      <c r="O1209" s="5">
        <v>10.4641579094413</v>
      </c>
      <c r="P1209" s="5">
        <v>10.4641579094413</v>
      </c>
      <c r="Q1209" s="5">
        <v>0.0</v>
      </c>
      <c r="R1209" s="5">
        <v>0.0</v>
      </c>
      <c r="S1209" s="5">
        <v>0.0</v>
      </c>
      <c r="T1209" s="5">
        <v>225.225944914002</v>
      </c>
    </row>
    <row r="1210">
      <c r="A1210" s="5">
        <v>1208.0</v>
      </c>
      <c r="B1210" s="6">
        <v>45335.0</v>
      </c>
      <c r="C1210" s="5">
        <v>213.614248644406</v>
      </c>
      <c r="D1210" s="5">
        <v>182.114869869041</v>
      </c>
      <c r="E1210" s="5">
        <v>263.534635025742</v>
      </c>
      <c r="F1210" s="5">
        <v>213.614248644406</v>
      </c>
      <c r="G1210" s="5">
        <v>213.614248644406</v>
      </c>
      <c r="H1210" s="5">
        <v>10.8861532468291</v>
      </c>
      <c r="I1210" s="5">
        <v>10.8861532468291</v>
      </c>
      <c r="J1210" s="5">
        <v>10.8861532468291</v>
      </c>
      <c r="K1210" s="5">
        <v>0.247324772137502</v>
      </c>
      <c r="L1210" s="5">
        <v>0.247324772137502</v>
      </c>
      <c r="M1210" s="5">
        <v>0.247324772137502</v>
      </c>
      <c r="N1210" s="5">
        <v>10.6388284746916</v>
      </c>
      <c r="O1210" s="5">
        <v>10.6388284746916</v>
      </c>
      <c r="P1210" s="5">
        <v>10.6388284746916</v>
      </c>
      <c r="Q1210" s="5">
        <v>0.0</v>
      </c>
      <c r="R1210" s="5">
        <v>0.0</v>
      </c>
      <c r="S1210" s="5">
        <v>0.0</v>
      </c>
      <c r="T1210" s="5">
        <v>224.500401891235</v>
      </c>
    </row>
    <row r="1211">
      <c r="A1211" s="5">
        <v>1209.0</v>
      </c>
      <c r="B1211" s="6">
        <v>45336.0</v>
      </c>
      <c r="C1211" s="5">
        <v>213.631289617701</v>
      </c>
      <c r="D1211" s="5">
        <v>182.047969478784</v>
      </c>
      <c r="E1211" s="5">
        <v>265.505421372972</v>
      </c>
      <c r="F1211" s="5">
        <v>213.631289617701</v>
      </c>
      <c r="G1211" s="5">
        <v>213.631289617701</v>
      </c>
      <c r="H1211" s="5">
        <v>11.2397296930318</v>
      </c>
      <c r="I1211" s="5">
        <v>11.2397296930318</v>
      </c>
      <c r="J1211" s="5">
        <v>11.2397296930318</v>
      </c>
      <c r="K1211" s="5">
        <v>0.608132553627347</v>
      </c>
      <c r="L1211" s="5">
        <v>0.608132553627347</v>
      </c>
      <c r="M1211" s="5">
        <v>0.608132553627347</v>
      </c>
      <c r="N1211" s="5">
        <v>10.6315971394045</v>
      </c>
      <c r="O1211" s="5">
        <v>10.6315971394045</v>
      </c>
      <c r="P1211" s="5">
        <v>10.6315971394045</v>
      </c>
      <c r="Q1211" s="5">
        <v>0.0</v>
      </c>
      <c r="R1211" s="5">
        <v>0.0</v>
      </c>
      <c r="S1211" s="5">
        <v>0.0</v>
      </c>
      <c r="T1211" s="5">
        <v>224.871019310733</v>
      </c>
    </row>
    <row r="1212">
      <c r="A1212" s="5">
        <v>1210.0</v>
      </c>
      <c r="B1212" s="6">
        <v>45337.0</v>
      </c>
      <c r="C1212" s="5">
        <v>213.648330590996</v>
      </c>
      <c r="D1212" s="5">
        <v>183.926608188134</v>
      </c>
      <c r="E1212" s="5">
        <v>261.713716218016</v>
      </c>
      <c r="F1212" s="5">
        <v>213.648330590996</v>
      </c>
      <c r="G1212" s="5">
        <v>213.648330590996</v>
      </c>
      <c r="H1212" s="5">
        <v>10.202493844143</v>
      </c>
      <c r="I1212" s="5">
        <v>10.202493844143</v>
      </c>
      <c r="J1212" s="5">
        <v>10.202493844143</v>
      </c>
      <c r="K1212" s="5">
        <v>-0.225417905346487</v>
      </c>
      <c r="L1212" s="5">
        <v>-0.225417905346487</v>
      </c>
      <c r="M1212" s="5">
        <v>-0.225417905346487</v>
      </c>
      <c r="N1212" s="5">
        <v>10.4279117494895</v>
      </c>
      <c r="O1212" s="5">
        <v>10.4279117494895</v>
      </c>
      <c r="P1212" s="5">
        <v>10.4279117494895</v>
      </c>
      <c r="Q1212" s="5">
        <v>0.0</v>
      </c>
      <c r="R1212" s="5">
        <v>0.0</v>
      </c>
      <c r="S1212" s="5">
        <v>0.0</v>
      </c>
      <c r="T1212" s="5">
        <v>223.850824435139</v>
      </c>
    </row>
    <row r="1213">
      <c r="A1213" s="5">
        <v>1211.0</v>
      </c>
      <c r="B1213" s="6">
        <v>45338.0</v>
      </c>
      <c r="C1213" s="5">
        <v>213.665371564291</v>
      </c>
      <c r="D1213" s="5">
        <v>184.542114450403</v>
      </c>
      <c r="E1213" s="5">
        <v>265.577813874585</v>
      </c>
      <c r="F1213" s="5">
        <v>213.665371564291</v>
      </c>
      <c r="G1213" s="5">
        <v>213.665371564291</v>
      </c>
      <c r="H1213" s="5">
        <v>9.27795392949372</v>
      </c>
      <c r="I1213" s="5">
        <v>9.27795392949372</v>
      </c>
      <c r="J1213" s="5">
        <v>9.27795392949372</v>
      </c>
      <c r="K1213" s="5">
        <v>-0.739640081278375</v>
      </c>
      <c r="L1213" s="5">
        <v>-0.739640081278375</v>
      </c>
      <c r="M1213" s="5">
        <v>-0.739640081278375</v>
      </c>
      <c r="N1213" s="5">
        <v>10.0175940107721</v>
      </c>
      <c r="O1213" s="5">
        <v>10.0175940107721</v>
      </c>
      <c r="P1213" s="5">
        <v>10.0175940107721</v>
      </c>
      <c r="Q1213" s="5">
        <v>0.0</v>
      </c>
      <c r="R1213" s="5">
        <v>0.0</v>
      </c>
      <c r="S1213" s="5">
        <v>0.0</v>
      </c>
      <c r="T1213" s="5">
        <v>222.943325493785</v>
      </c>
    </row>
    <row r="1214">
      <c r="A1214" s="5">
        <v>1212.0</v>
      </c>
      <c r="B1214" s="6">
        <v>45342.0</v>
      </c>
      <c r="C1214" s="5">
        <v>213.733535457473</v>
      </c>
      <c r="D1214" s="5">
        <v>181.495152071965</v>
      </c>
      <c r="E1214" s="5">
        <v>260.063234693136</v>
      </c>
      <c r="F1214" s="5">
        <v>213.733535457473</v>
      </c>
      <c r="G1214" s="5">
        <v>213.733535457473</v>
      </c>
      <c r="H1214" s="5">
        <v>6.52130330155844</v>
      </c>
      <c r="I1214" s="5">
        <v>6.52130330155844</v>
      </c>
      <c r="J1214" s="5">
        <v>6.52130330155844</v>
      </c>
      <c r="K1214" s="5">
        <v>0.247324772138888</v>
      </c>
      <c r="L1214" s="5">
        <v>0.247324772138888</v>
      </c>
      <c r="M1214" s="5">
        <v>0.247324772138888</v>
      </c>
      <c r="N1214" s="5">
        <v>6.27397852941955</v>
      </c>
      <c r="O1214" s="5">
        <v>6.27397852941955</v>
      </c>
      <c r="P1214" s="5">
        <v>6.27397852941955</v>
      </c>
      <c r="Q1214" s="5">
        <v>0.0</v>
      </c>
      <c r="R1214" s="5">
        <v>0.0</v>
      </c>
      <c r="S1214" s="5">
        <v>0.0</v>
      </c>
      <c r="T1214" s="5">
        <v>220.254838759031</v>
      </c>
    </row>
    <row r="1215">
      <c r="A1215" s="5">
        <v>1213.0</v>
      </c>
      <c r="B1215" s="6">
        <v>45343.0</v>
      </c>
      <c r="C1215" s="5">
        <v>213.750576430768</v>
      </c>
      <c r="D1215" s="5">
        <v>178.315008821234</v>
      </c>
      <c r="E1215" s="5">
        <v>259.799886098773</v>
      </c>
      <c r="F1215" s="5">
        <v>213.750576430768</v>
      </c>
      <c r="G1215" s="5">
        <v>213.750576430768</v>
      </c>
      <c r="H1215" s="5">
        <v>5.45458365002106</v>
      </c>
      <c r="I1215" s="5">
        <v>5.45458365002106</v>
      </c>
      <c r="J1215" s="5">
        <v>5.45458365002106</v>
      </c>
      <c r="K1215" s="5">
        <v>0.608132553629126</v>
      </c>
      <c r="L1215" s="5">
        <v>0.608132553629126</v>
      </c>
      <c r="M1215" s="5">
        <v>0.608132553629126</v>
      </c>
      <c r="N1215" s="5">
        <v>4.84645109639193</v>
      </c>
      <c r="O1215" s="5">
        <v>4.84645109639193</v>
      </c>
      <c r="P1215" s="5">
        <v>4.84645109639193</v>
      </c>
      <c r="Q1215" s="5">
        <v>0.0</v>
      </c>
      <c r="R1215" s="5">
        <v>0.0</v>
      </c>
      <c r="S1215" s="5">
        <v>0.0</v>
      </c>
      <c r="T1215" s="5">
        <v>219.205160080789</v>
      </c>
    </row>
    <row r="1216">
      <c r="A1216" s="5">
        <v>1214.0</v>
      </c>
      <c r="B1216" s="6">
        <v>45344.0</v>
      </c>
      <c r="C1216" s="5">
        <v>213.767617404063</v>
      </c>
      <c r="D1216" s="5">
        <v>176.864428252689</v>
      </c>
      <c r="E1216" s="5">
        <v>257.068030076298</v>
      </c>
      <c r="F1216" s="5">
        <v>213.767617404063</v>
      </c>
      <c r="G1216" s="5">
        <v>213.767617404063</v>
      </c>
      <c r="H1216" s="5">
        <v>3.02702415956574</v>
      </c>
      <c r="I1216" s="5">
        <v>3.02702415956574</v>
      </c>
      <c r="J1216" s="5">
        <v>3.02702415956574</v>
      </c>
      <c r="K1216" s="5">
        <v>-0.225417905349451</v>
      </c>
      <c r="L1216" s="5">
        <v>-0.225417905349451</v>
      </c>
      <c r="M1216" s="5">
        <v>-0.225417905349451</v>
      </c>
      <c r="N1216" s="5">
        <v>3.25244206491519</v>
      </c>
      <c r="O1216" s="5">
        <v>3.25244206491519</v>
      </c>
      <c r="P1216" s="5">
        <v>3.25244206491519</v>
      </c>
      <c r="Q1216" s="5">
        <v>0.0</v>
      </c>
      <c r="R1216" s="5">
        <v>0.0</v>
      </c>
      <c r="S1216" s="5">
        <v>0.0</v>
      </c>
      <c r="T1216" s="5">
        <v>216.794641563629</v>
      </c>
    </row>
    <row r="1217">
      <c r="A1217" s="5">
        <v>1215.0</v>
      </c>
      <c r="B1217" s="6">
        <v>45345.0</v>
      </c>
      <c r="C1217" s="5">
        <v>213.784658377358</v>
      </c>
      <c r="D1217" s="5">
        <v>174.042583544531</v>
      </c>
      <c r="E1217" s="5">
        <v>254.225694331678</v>
      </c>
      <c r="F1217" s="5">
        <v>213.784658377358</v>
      </c>
      <c r="G1217" s="5">
        <v>213.784658377358</v>
      </c>
      <c r="H1217" s="5">
        <v>0.774881017774559</v>
      </c>
      <c r="I1217" s="5">
        <v>0.774881017774559</v>
      </c>
      <c r="J1217" s="5">
        <v>0.774881017774559</v>
      </c>
      <c r="K1217" s="5">
        <v>-0.739640081282963</v>
      </c>
      <c r="L1217" s="5">
        <v>-0.739640081282963</v>
      </c>
      <c r="M1217" s="5">
        <v>-0.739640081282963</v>
      </c>
      <c r="N1217" s="5">
        <v>1.51452109905752</v>
      </c>
      <c r="O1217" s="5">
        <v>1.51452109905752</v>
      </c>
      <c r="P1217" s="5">
        <v>1.51452109905752</v>
      </c>
      <c r="Q1217" s="5">
        <v>0.0</v>
      </c>
      <c r="R1217" s="5">
        <v>0.0</v>
      </c>
      <c r="S1217" s="5">
        <v>0.0</v>
      </c>
      <c r="T1217" s="5">
        <v>214.559539395133</v>
      </c>
    </row>
    <row r="1218">
      <c r="A1218" s="5">
        <v>1216.0</v>
      </c>
      <c r="B1218" s="6">
        <v>45348.0</v>
      </c>
      <c r="C1218" s="5">
        <v>213.835781297244</v>
      </c>
      <c r="D1218" s="5">
        <v>171.208743964907</v>
      </c>
      <c r="E1218" s="5">
        <v>250.946738417061</v>
      </c>
      <c r="F1218" s="5">
        <v>213.835781297244</v>
      </c>
      <c r="G1218" s="5">
        <v>213.835781297244</v>
      </c>
      <c r="H1218" s="5">
        <v>-3.12278531812551</v>
      </c>
      <c r="I1218" s="5">
        <v>-3.12278531812551</v>
      </c>
      <c r="J1218" s="5">
        <v>-3.12278531812551</v>
      </c>
      <c r="K1218" s="5">
        <v>1.16457933345082</v>
      </c>
      <c r="L1218" s="5">
        <v>1.16457933345082</v>
      </c>
      <c r="M1218" s="5">
        <v>1.16457933345082</v>
      </c>
      <c r="N1218" s="5">
        <v>-4.28736465157633</v>
      </c>
      <c r="O1218" s="5">
        <v>-4.28736465157633</v>
      </c>
      <c r="P1218" s="5">
        <v>-4.28736465157633</v>
      </c>
      <c r="Q1218" s="5">
        <v>0.0</v>
      </c>
      <c r="R1218" s="5">
        <v>0.0</v>
      </c>
      <c r="S1218" s="5">
        <v>0.0</v>
      </c>
      <c r="T1218" s="5">
        <v>210.712995979119</v>
      </c>
    </row>
    <row r="1219">
      <c r="A1219" s="5">
        <v>1217.0</v>
      </c>
      <c r="B1219" s="6">
        <v>45349.0</v>
      </c>
      <c r="C1219" s="5">
        <v>213.852822270539</v>
      </c>
      <c r="D1219" s="5">
        <v>166.681559490657</v>
      </c>
      <c r="E1219" s="5">
        <v>249.431055770423</v>
      </c>
      <c r="F1219" s="5">
        <v>213.852822270539</v>
      </c>
      <c r="G1219" s="5">
        <v>213.852822270539</v>
      </c>
      <c r="H1219" s="5">
        <v>-6.06620074691356</v>
      </c>
      <c r="I1219" s="5">
        <v>-6.06620074691356</v>
      </c>
      <c r="J1219" s="5">
        <v>-6.06620074691356</v>
      </c>
      <c r="K1219" s="5">
        <v>0.247324772137553</v>
      </c>
      <c r="L1219" s="5">
        <v>0.247324772137553</v>
      </c>
      <c r="M1219" s="5">
        <v>0.247324772137553</v>
      </c>
      <c r="N1219" s="5">
        <v>-6.31352551905112</v>
      </c>
      <c r="O1219" s="5">
        <v>-6.31352551905112</v>
      </c>
      <c r="P1219" s="5">
        <v>-6.31352551905112</v>
      </c>
      <c r="Q1219" s="5">
        <v>0.0</v>
      </c>
      <c r="R1219" s="5">
        <v>0.0</v>
      </c>
      <c r="S1219" s="5">
        <v>0.0</v>
      </c>
      <c r="T1219" s="5">
        <v>207.786621523626</v>
      </c>
    </row>
    <row r="1220">
      <c r="A1220" s="5">
        <v>1218.0</v>
      </c>
      <c r="B1220" s="6">
        <v>45350.0</v>
      </c>
      <c r="C1220" s="5">
        <v>213.869863243835</v>
      </c>
      <c r="D1220" s="5">
        <v>167.443333300645</v>
      </c>
      <c r="E1220" s="5">
        <v>247.084988182714</v>
      </c>
      <c r="F1220" s="5">
        <v>213.869863243835</v>
      </c>
      <c r="G1220" s="5">
        <v>213.869863243835</v>
      </c>
      <c r="H1220" s="5">
        <v>-7.7222240773992</v>
      </c>
      <c r="I1220" s="5">
        <v>-7.7222240773992</v>
      </c>
      <c r="J1220" s="5">
        <v>-7.7222240773992</v>
      </c>
      <c r="K1220" s="5">
        <v>0.608132553627122</v>
      </c>
      <c r="L1220" s="5">
        <v>0.608132553627122</v>
      </c>
      <c r="M1220" s="5">
        <v>0.608132553627122</v>
      </c>
      <c r="N1220" s="5">
        <v>-8.33035663102633</v>
      </c>
      <c r="O1220" s="5">
        <v>-8.33035663102633</v>
      </c>
      <c r="P1220" s="5">
        <v>-8.33035663102633</v>
      </c>
      <c r="Q1220" s="5">
        <v>0.0</v>
      </c>
      <c r="R1220" s="5">
        <v>0.0</v>
      </c>
      <c r="S1220" s="5">
        <v>0.0</v>
      </c>
      <c r="T1220" s="5">
        <v>206.147639166436</v>
      </c>
    </row>
    <row r="1221">
      <c r="A1221" s="5">
        <v>1219.0</v>
      </c>
      <c r="B1221" s="6">
        <v>45351.0</v>
      </c>
      <c r="C1221" s="5">
        <v>213.88690421713</v>
      </c>
      <c r="D1221" s="5">
        <v>163.798043604767</v>
      </c>
      <c r="E1221" s="5">
        <v>247.624261634154</v>
      </c>
      <c r="F1221" s="5">
        <v>213.88690421713</v>
      </c>
      <c r="G1221" s="5">
        <v>213.88690421713</v>
      </c>
      <c r="H1221" s="5">
        <v>-10.5295249843672</v>
      </c>
      <c r="I1221" s="5">
        <v>-10.5295249843672</v>
      </c>
      <c r="J1221" s="5">
        <v>-10.5295249843672</v>
      </c>
      <c r="K1221" s="5">
        <v>-0.22541790534903</v>
      </c>
      <c r="L1221" s="5">
        <v>-0.22541790534903</v>
      </c>
      <c r="M1221" s="5">
        <v>-0.22541790534903</v>
      </c>
      <c r="N1221" s="5">
        <v>-10.3041070790182</v>
      </c>
      <c r="O1221" s="5">
        <v>-10.3041070790182</v>
      </c>
      <c r="P1221" s="5">
        <v>-10.3041070790182</v>
      </c>
      <c r="Q1221" s="5">
        <v>0.0</v>
      </c>
      <c r="R1221" s="5">
        <v>0.0</v>
      </c>
      <c r="S1221" s="5">
        <v>0.0</v>
      </c>
      <c r="T1221" s="5">
        <v>203.357379232763</v>
      </c>
    </row>
    <row r="1222">
      <c r="A1222" s="5">
        <v>1220.0</v>
      </c>
      <c r="B1222" s="6">
        <v>45352.0</v>
      </c>
      <c r="C1222" s="5">
        <v>213.903945190425</v>
      </c>
      <c r="D1222" s="5">
        <v>159.801563875379</v>
      </c>
      <c r="E1222" s="5">
        <v>240.38714516617</v>
      </c>
      <c r="F1222" s="5">
        <v>213.903945190425</v>
      </c>
      <c r="G1222" s="5">
        <v>213.903945190425</v>
      </c>
      <c r="H1222" s="5">
        <v>-12.9414303654434</v>
      </c>
      <c r="I1222" s="5">
        <v>-12.9414303654434</v>
      </c>
      <c r="J1222" s="5">
        <v>-12.9414303654434</v>
      </c>
      <c r="K1222" s="5">
        <v>-0.739640081280686</v>
      </c>
      <c r="L1222" s="5">
        <v>-0.739640081280686</v>
      </c>
      <c r="M1222" s="5">
        <v>-0.739640081280686</v>
      </c>
      <c r="N1222" s="5">
        <v>-12.2017902841627</v>
      </c>
      <c r="O1222" s="5">
        <v>-12.2017902841627</v>
      </c>
      <c r="P1222" s="5">
        <v>-12.2017902841627</v>
      </c>
      <c r="Q1222" s="5">
        <v>0.0</v>
      </c>
      <c r="R1222" s="5">
        <v>0.0</v>
      </c>
      <c r="S1222" s="5">
        <v>0.0</v>
      </c>
      <c r="T1222" s="5">
        <v>200.962514824982</v>
      </c>
    </row>
    <row r="1223">
      <c r="A1223" s="5">
        <v>1221.0</v>
      </c>
      <c r="B1223" s="6">
        <v>45355.0</v>
      </c>
      <c r="C1223" s="5">
        <v>213.955068110311</v>
      </c>
      <c r="D1223" s="5">
        <v>157.362257200314</v>
      </c>
      <c r="E1223" s="5">
        <v>241.184726758532</v>
      </c>
      <c r="F1223" s="5">
        <v>213.955068110311</v>
      </c>
      <c r="G1223" s="5">
        <v>213.955068110311</v>
      </c>
      <c r="H1223" s="5">
        <v>-15.9711216389209</v>
      </c>
      <c r="I1223" s="5">
        <v>-15.9711216389209</v>
      </c>
      <c r="J1223" s="5">
        <v>-15.9711216389209</v>
      </c>
      <c r="K1223" s="5">
        <v>1.16457933345105</v>
      </c>
      <c r="L1223" s="5">
        <v>1.16457933345105</v>
      </c>
      <c r="M1223" s="5">
        <v>1.16457933345105</v>
      </c>
      <c r="N1223" s="5">
        <v>-17.135700972372</v>
      </c>
      <c r="O1223" s="5">
        <v>-17.135700972372</v>
      </c>
      <c r="P1223" s="5">
        <v>-17.135700972372</v>
      </c>
      <c r="Q1223" s="5">
        <v>0.0</v>
      </c>
      <c r="R1223" s="5">
        <v>0.0</v>
      </c>
      <c r="S1223" s="5">
        <v>0.0</v>
      </c>
      <c r="T1223" s="5">
        <v>197.98394647139</v>
      </c>
    </row>
    <row r="1224">
      <c r="A1224" s="5">
        <v>1222.0</v>
      </c>
      <c r="B1224" s="6">
        <v>45356.0</v>
      </c>
      <c r="C1224" s="5">
        <v>213.972109083606</v>
      </c>
      <c r="D1224" s="5">
        <v>151.665748426111</v>
      </c>
      <c r="E1224" s="5">
        <v>240.479234716087</v>
      </c>
      <c r="F1224" s="5">
        <v>213.972109083606</v>
      </c>
      <c r="G1224" s="5">
        <v>213.972109083606</v>
      </c>
      <c r="H1224" s="5">
        <v>-18.192848810257</v>
      </c>
      <c r="I1224" s="5">
        <v>-18.192848810257</v>
      </c>
      <c r="J1224" s="5">
        <v>-18.192848810257</v>
      </c>
      <c r="K1224" s="5">
        <v>0.247324772139065</v>
      </c>
      <c r="L1224" s="5">
        <v>0.247324772139065</v>
      </c>
      <c r="M1224" s="5">
        <v>0.247324772139065</v>
      </c>
      <c r="N1224" s="5">
        <v>-18.4401735823961</v>
      </c>
      <c r="O1224" s="5">
        <v>-18.4401735823961</v>
      </c>
      <c r="P1224" s="5">
        <v>-18.4401735823961</v>
      </c>
      <c r="Q1224" s="5">
        <v>0.0</v>
      </c>
      <c r="R1224" s="5">
        <v>0.0</v>
      </c>
      <c r="S1224" s="5">
        <v>0.0</v>
      </c>
      <c r="T1224" s="5">
        <v>195.779260273349</v>
      </c>
    </row>
    <row r="1225">
      <c r="A1225" s="5">
        <v>1223.0</v>
      </c>
      <c r="B1225" s="6">
        <v>45357.0</v>
      </c>
      <c r="C1225" s="5">
        <v>213.989150056902</v>
      </c>
      <c r="D1225" s="5">
        <v>153.297472067458</v>
      </c>
      <c r="E1225" s="5">
        <v>238.161178680014</v>
      </c>
      <c r="F1225" s="5">
        <v>213.989150056902</v>
      </c>
      <c r="G1225" s="5">
        <v>213.989150056902</v>
      </c>
      <c r="H1225" s="5">
        <v>-18.9318083099794</v>
      </c>
      <c r="I1225" s="5">
        <v>-18.9318083099794</v>
      </c>
      <c r="J1225" s="5">
        <v>-18.9318083099794</v>
      </c>
      <c r="K1225" s="5">
        <v>0.608132553623564</v>
      </c>
      <c r="L1225" s="5">
        <v>0.608132553623564</v>
      </c>
      <c r="M1225" s="5">
        <v>0.608132553623564</v>
      </c>
      <c r="N1225" s="5">
        <v>-19.539940863603</v>
      </c>
      <c r="O1225" s="5">
        <v>-19.539940863603</v>
      </c>
      <c r="P1225" s="5">
        <v>-19.539940863603</v>
      </c>
      <c r="Q1225" s="5">
        <v>0.0</v>
      </c>
      <c r="R1225" s="5">
        <v>0.0</v>
      </c>
      <c r="S1225" s="5">
        <v>0.0</v>
      </c>
      <c r="T1225" s="5">
        <v>195.057341746922</v>
      </c>
    </row>
    <row r="1226">
      <c r="A1226" s="5">
        <v>1224.0</v>
      </c>
      <c r="B1226" s="6">
        <v>45358.0</v>
      </c>
      <c r="C1226" s="5">
        <v>214.006191030197</v>
      </c>
      <c r="D1226" s="5">
        <v>154.857349215197</v>
      </c>
      <c r="E1226" s="5">
        <v>233.614578131395</v>
      </c>
      <c r="F1226" s="5">
        <v>214.006191030197</v>
      </c>
      <c r="G1226" s="5">
        <v>214.006191030197</v>
      </c>
      <c r="H1226" s="5">
        <v>-20.6459784478859</v>
      </c>
      <c r="I1226" s="5">
        <v>-20.6459784478859</v>
      </c>
      <c r="J1226" s="5">
        <v>-20.6459784478859</v>
      </c>
      <c r="K1226" s="5">
        <v>-0.225417905346683</v>
      </c>
      <c r="L1226" s="5">
        <v>-0.225417905346683</v>
      </c>
      <c r="M1226" s="5">
        <v>-0.225417905346683</v>
      </c>
      <c r="N1226" s="5">
        <v>-20.4205605425392</v>
      </c>
      <c r="O1226" s="5">
        <v>-20.4205605425392</v>
      </c>
      <c r="P1226" s="5">
        <v>-20.4205605425392</v>
      </c>
      <c r="Q1226" s="5">
        <v>0.0</v>
      </c>
      <c r="R1226" s="5">
        <v>0.0</v>
      </c>
      <c r="S1226" s="5">
        <v>0.0</v>
      </c>
      <c r="T1226" s="5">
        <v>193.360212582311</v>
      </c>
    </row>
    <row r="1227">
      <c r="A1227" s="5">
        <v>1225.0</v>
      </c>
      <c r="B1227" s="6">
        <v>45359.0</v>
      </c>
      <c r="C1227" s="5">
        <v>214.023232003492</v>
      </c>
      <c r="D1227" s="5">
        <v>150.877208306984</v>
      </c>
      <c r="E1227" s="5">
        <v>233.771883967362</v>
      </c>
      <c r="F1227" s="5">
        <v>214.023232003492</v>
      </c>
      <c r="G1227" s="5">
        <v>214.023232003492</v>
      </c>
      <c r="H1227" s="5">
        <v>-21.8119026119807</v>
      </c>
      <c r="I1227" s="5">
        <v>-21.8119026119807</v>
      </c>
      <c r="J1227" s="5">
        <v>-21.8119026119807</v>
      </c>
      <c r="K1227" s="5">
        <v>-0.739640081281842</v>
      </c>
      <c r="L1227" s="5">
        <v>-0.739640081281842</v>
      </c>
      <c r="M1227" s="5">
        <v>-0.739640081281842</v>
      </c>
      <c r="N1227" s="5">
        <v>-21.0722625306989</v>
      </c>
      <c r="O1227" s="5">
        <v>-21.0722625306989</v>
      </c>
      <c r="P1227" s="5">
        <v>-21.0722625306989</v>
      </c>
      <c r="Q1227" s="5">
        <v>0.0</v>
      </c>
      <c r="R1227" s="5">
        <v>0.0</v>
      </c>
      <c r="S1227" s="5">
        <v>0.0</v>
      </c>
      <c r="T1227" s="5">
        <v>192.211329391511</v>
      </c>
    </row>
    <row r="1228">
      <c r="A1228" s="5">
        <v>1226.0</v>
      </c>
      <c r="B1228" s="6">
        <v>45362.0</v>
      </c>
      <c r="C1228" s="5">
        <v>214.074354923378</v>
      </c>
      <c r="D1228" s="5">
        <v>153.848348009109</v>
      </c>
      <c r="E1228" s="5">
        <v>235.331058142477</v>
      </c>
      <c r="F1228" s="5">
        <v>214.074354923378</v>
      </c>
      <c r="G1228" s="5">
        <v>214.074354923378</v>
      </c>
      <c r="H1228" s="5">
        <v>-20.464380519186</v>
      </c>
      <c r="I1228" s="5">
        <v>-20.464380519186</v>
      </c>
      <c r="J1228" s="5">
        <v>-20.464380519186</v>
      </c>
      <c r="K1228" s="5">
        <v>1.16457933345139</v>
      </c>
      <c r="L1228" s="5">
        <v>1.16457933345139</v>
      </c>
      <c r="M1228" s="5">
        <v>1.16457933345139</v>
      </c>
      <c r="N1228" s="5">
        <v>-21.6289598526374</v>
      </c>
      <c r="O1228" s="5">
        <v>-21.6289598526374</v>
      </c>
      <c r="P1228" s="5">
        <v>-21.6289598526374</v>
      </c>
      <c r="Q1228" s="5">
        <v>0.0</v>
      </c>
      <c r="R1228" s="5">
        <v>0.0</v>
      </c>
      <c r="S1228" s="5">
        <v>0.0</v>
      </c>
      <c r="T1228" s="5">
        <v>193.609974404192</v>
      </c>
    </row>
    <row r="1229">
      <c r="A1229" s="5">
        <v>1227.0</v>
      </c>
      <c r="B1229" s="6">
        <v>45363.0</v>
      </c>
      <c r="C1229" s="5">
        <v>214.091395896673</v>
      </c>
      <c r="D1229" s="5">
        <v>153.784665080207</v>
      </c>
      <c r="E1229" s="5">
        <v>234.226739203604</v>
      </c>
      <c r="F1229" s="5">
        <v>214.091395896673</v>
      </c>
      <c r="G1229" s="5">
        <v>214.091395896673</v>
      </c>
      <c r="H1229" s="5">
        <v>-21.1168207689271</v>
      </c>
      <c r="I1229" s="5">
        <v>-21.1168207689271</v>
      </c>
      <c r="J1229" s="5">
        <v>-21.1168207689271</v>
      </c>
      <c r="K1229" s="5">
        <v>0.24732477213773</v>
      </c>
      <c r="L1229" s="5">
        <v>0.24732477213773</v>
      </c>
      <c r="M1229" s="5">
        <v>0.24732477213773</v>
      </c>
      <c r="N1229" s="5">
        <v>-21.3641455410649</v>
      </c>
      <c r="O1229" s="5">
        <v>-21.3641455410649</v>
      </c>
      <c r="P1229" s="5">
        <v>-21.3641455410649</v>
      </c>
      <c r="Q1229" s="5">
        <v>0.0</v>
      </c>
      <c r="R1229" s="5">
        <v>0.0</v>
      </c>
      <c r="S1229" s="5">
        <v>0.0</v>
      </c>
      <c r="T1229" s="5">
        <v>192.974575127746</v>
      </c>
    </row>
    <row r="1230">
      <c r="A1230" s="5">
        <v>1228.0</v>
      </c>
      <c r="B1230" s="6">
        <v>45364.0</v>
      </c>
      <c r="C1230" s="5">
        <v>214.108436869968</v>
      </c>
      <c r="D1230" s="5">
        <v>154.651421490253</v>
      </c>
      <c r="E1230" s="5">
        <v>235.344659925051</v>
      </c>
      <c r="F1230" s="5">
        <v>214.108436869968</v>
      </c>
      <c r="G1230" s="5">
        <v>214.108436869968</v>
      </c>
      <c r="H1230" s="5">
        <v>-20.2852676601084</v>
      </c>
      <c r="I1230" s="5">
        <v>-20.2852676601084</v>
      </c>
      <c r="J1230" s="5">
        <v>-20.2852676601084</v>
      </c>
      <c r="K1230" s="5">
        <v>0.608132553625343</v>
      </c>
      <c r="L1230" s="5">
        <v>0.608132553625343</v>
      </c>
      <c r="M1230" s="5">
        <v>0.608132553625343</v>
      </c>
      <c r="N1230" s="5">
        <v>-20.8934002137338</v>
      </c>
      <c r="O1230" s="5">
        <v>-20.8934002137338</v>
      </c>
      <c r="P1230" s="5">
        <v>-20.8934002137338</v>
      </c>
      <c r="Q1230" s="5">
        <v>0.0</v>
      </c>
      <c r="R1230" s="5">
        <v>0.0</v>
      </c>
      <c r="S1230" s="5">
        <v>0.0</v>
      </c>
      <c r="T1230" s="5">
        <v>193.82316920986</v>
      </c>
    </row>
    <row r="1231">
      <c r="A1231" s="5">
        <v>1229.0</v>
      </c>
      <c r="B1231" s="6">
        <v>45365.0</v>
      </c>
      <c r="C1231" s="5">
        <v>214.125477843264</v>
      </c>
      <c r="D1231" s="5">
        <v>151.868573609729</v>
      </c>
      <c r="E1231" s="5">
        <v>235.194311236701</v>
      </c>
      <c r="F1231" s="5">
        <v>214.125477843264</v>
      </c>
      <c r="G1231" s="5">
        <v>214.125477843264</v>
      </c>
      <c r="H1231" s="5">
        <v>-20.4598336617711</v>
      </c>
      <c r="I1231" s="5">
        <v>-20.4598336617711</v>
      </c>
      <c r="J1231" s="5">
        <v>-20.4598336617711</v>
      </c>
      <c r="K1231" s="5">
        <v>-0.225417905346262</v>
      </c>
      <c r="L1231" s="5">
        <v>-0.225417905346262</v>
      </c>
      <c r="M1231" s="5">
        <v>-0.225417905346262</v>
      </c>
      <c r="N1231" s="5">
        <v>-20.2344157564248</v>
      </c>
      <c r="O1231" s="5">
        <v>-20.2344157564248</v>
      </c>
      <c r="P1231" s="5">
        <v>-20.2344157564248</v>
      </c>
      <c r="Q1231" s="5">
        <v>0.0</v>
      </c>
      <c r="R1231" s="5">
        <v>0.0</v>
      </c>
      <c r="S1231" s="5">
        <v>0.0</v>
      </c>
      <c r="T1231" s="5">
        <v>193.665644181493</v>
      </c>
    </row>
    <row r="1232">
      <c r="A1232" s="5">
        <v>1230.0</v>
      </c>
      <c r="B1232" s="6">
        <v>45366.0</v>
      </c>
      <c r="C1232" s="5">
        <v>214.142518816559</v>
      </c>
      <c r="D1232" s="5">
        <v>153.814453248596</v>
      </c>
      <c r="E1232" s="5">
        <v>233.564348227576</v>
      </c>
      <c r="F1232" s="5">
        <v>214.142518816559</v>
      </c>
      <c r="G1232" s="5">
        <v>214.142518816559</v>
      </c>
      <c r="H1232" s="5">
        <v>-20.1479744576322</v>
      </c>
      <c r="I1232" s="5">
        <v>-20.1479744576322</v>
      </c>
      <c r="J1232" s="5">
        <v>-20.1479744576322</v>
      </c>
      <c r="K1232" s="5">
        <v>-0.739640081279565</v>
      </c>
      <c r="L1232" s="5">
        <v>-0.739640081279565</v>
      </c>
      <c r="M1232" s="5">
        <v>-0.739640081279565</v>
      </c>
      <c r="N1232" s="5">
        <v>-19.4083343763527</v>
      </c>
      <c r="O1232" s="5">
        <v>-19.4083343763527</v>
      </c>
      <c r="P1232" s="5">
        <v>-19.4083343763527</v>
      </c>
      <c r="Q1232" s="5">
        <v>0.0</v>
      </c>
      <c r="R1232" s="5">
        <v>0.0</v>
      </c>
      <c r="S1232" s="5">
        <v>0.0</v>
      </c>
      <c r="T1232" s="5">
        <v>193.994544358927</v>
      </c>
    </row>
    <row r="1233">
      <c r="A1233" s="5">
        <v>1231.0</v>
      </c>
      <c r="B1233" s="6">
        <v>45369.0</v>
      </c>
      <c r="C1233" s="5">
        <v>214.193641736445</v>
      </c>
      <c r="D1233" s="5">
        <v>161.174510843926</v>
      </c>
      <c r="E1233" s="5">
        <v>239.681107917096</v>
      </c>
      <c r="F1233" s="5">
        <v>214.193641736445</v>
      </c>
      <c r="G1233" s="5">
        <v>214.193641736445</v>
      </c>
      <c r="H1233" s="5">
        <v>-15.0138608596385</v>
      </c>
      <c r="I1233" s="5">
        <v>-15.0138608596385</v>
      </c>
      <c r="J1233" s="5">
        <v>-15.0138608596385</v>
      </c>
      <c r="K1233" s="5">
        <v>1.16457933345</v>
      </c>
      <c r="L1233" s="5">
        <v>1.16457933345</v>
      </c>
      <c r="M1233" s="5">
        <v>1.16457933345</v>
      </c>
      <c r="N1233" s="5">
        <v>-16.1784401930885</v>
      </c>
      <c r="O1233" s="5">
        <v>-16.1784401930885</v>
      </c>
      <c r="P1233" s="5">
        <v>-16.1784401930885</v>
      </c>
      <c r="Q1233" s="5">
        <v>0.0</v>
      </c>
      <c r="R1233" s="5">
        <v>0.0</v>
      </c>
      <c r="S1233" s="5">
        <v>0.0</v>
      </c>
      <c r="T1233" s="5">
        <v>199.179780876806</v>
      </c>
    </row>
    <row r="1234">
      <c r="A1234" s="5">
        <v>1232.0</v>
      </c>
      <c r="B1234" s="6">
        <v>45370.0</v>
      </c>
      <c r="C1234" s="5">
        <v>214.21068270974</v>
      </c>
      <c r="D1234" s="5">
        <v>158.408241899536</v>
      </c>
      <c r="E1234" s="5">
        <v>241.305793621715</v>
      </c>
      <c r="F1234" s="5">
        <v>214.21068270974</v>
      </c>
      <c r="G1234" s="5">
        <v>214.21068270974</v>
      </c>
      <c r="H1234" s="5">
        <v>-14.6961964315804</v>
      </c>
      <c r="I1234" s="5">
        <v>-14.6961964315804</v>
      </c>
      <c r="J1234" s="5">
        <v>-14.6961964315804</v>
      </c>
      <c r="K1234" s="5">
        <v>0.247324772137819</v>
      </c>
      <c r="L1234" s="5">
        <v>0.247324772137819</v>
      </c>
      <c r="M1234" s="5">
        <v>0.247324772137819</v>
      </c>
      <c r="N1234" s="5">
        <v>-14.9435212037182</v>
      </c>
      <c r="O1234" s="5">
        <v>-14.9435212037182</v>
      </c>
      <c r="P1234" s="5">
        <v>-14.9435212037182</v>
      </c>
      <c r="Q1234" s="5">
        <v>0.0</v>
      </c>
      <c r="R1234" s="5">
        <v>0.0</v>
      </c>
      <c r="S1234" s="5">
        <v>0.0</v>
      </c>
      <c r="T1234" s="5">
        <v>199.51448627816</v>
      </c>
    </row>
    <row r="1235">
      <c r="A1235" s="5">
        <v>1233.0</v>
      </c>
      <c r="B1235" s="6">
        <v>45371.0</v>
      </c>
      <c r="C1235" s="5">
        <v>214.227723683035</v>
      </c>
      <c r="D1235" s="5">
        <v>158.815514533426</v>
      </c>
      <c r="E1235" s="5">
        <v>240.910381112828</v>
      </c>
      <c r="F1235" s="5">
        <v>214.227723683035</v>
      </c>
      <c r="G1235" s="5">
        <v>214.227723683035</v>
      </c>
      <c r="H1235" s="5">
        <v>-13.0693620747461</v>
      </c>
      <c r="I1235" s="5">
        <v>-13.0693620747461</v>
      </c>
      <c r="J1235" s="5">
        <v>-13.0693620747461</v>
      </c>
      <c r="K1235" s="5">
        <v>0.608132553627121</v>
      </c>
      <c r="L1235" s="5">
        <v>0.608132553627121</v>
      </c>
      <c r="M1235" s="5">
        <v>0.608132553627121</v>
      </c>
      <c r="N1235" s="5">
        <v>-13.6774946283732</v>
      </c>
      <c r="O1235" s="5">
        <v>-13.6774946283732</v>
      </c>
      <c r="P1235" s="5">
        <v>-13.6774946283732</v>
      </c>
      <c r="Q1235" s="5">
        <v>0.0</v>
      </c>
      <c r="R1235" s="5">
        <v>0.0</v>
      </c>
      <c r="S1235" s="5">
        <v>0.0</v>
      </c>
      <c r="T1235" s="5">
        <v>201.158361608289</v>
      </c>
    </row>
    <row r="1236">
      <c r="A1236" s="5">
        <v>1234.0</v>
      </c>
      <c r="B1236" s="6">
        <v>45372.0</v>
      </c>
      <c r="C1236" s="5">
        <v>214.244764656331</v>
      </c>
      <c r="D1236" s="5">
        <v>160.669994025979</v>
      </c>
      <c r="E1236" s="5">
        <v>242.981683598667</v>
      </c>
      <c r="F1236" s="5">
        <v>214.244764656331</v>
      </c>
      <c r="G1236" s="5">
        <v>214.244764656331</v>
      </c>
      <c r="H1236" s="5">
        <v>-12.6342890497339</v>
      </c>
      <c r="I1236" s="5">
        <v>-12.6342890497339</v>
      </c>
      <c r="J1236" s="5">
        <v>-12.6342890497339</v>
      </c>
      <c r="K1236" s="5">
        <v>-0.225417905349227</v>
      </c>
      <c r="L1236" s="5">
        <v>-0.225417905349227</v>
      </c>
      <c r="M1236" s="5">
        <v>-0.225417905349227</v>
      </c>
      <c r="N1236" s="5">
        <v>-12.4088711443846</v>
      </c>
      <c r="O1236" s="5">
        <v>-12.4088711443846</v>
      </c>
      <c r="P1236" s="5">
        <v>-12.4088711443846</v>
      </c>
      <c r="Q1236" s="5">
        <v>0.0</v>
      </c>
      <c r="R1236" s="5">
        <v>0.0</v>
      </c>
      <c r="S1236" s="5">
        <v>0.0</v>
      </c>
      <c r="T1236" s="5">
        <v>201.610475606597</v>
      </c>
    </row>
    <row r="1237">
      <c r="A1237" s="5">
        <v>1235.0</v>
      </c>
      <c r="B1237" s="6">
        <v>45373.0</v>
      </c>
      <c r="C1237" s="5">
        <v>214.261805629626</v>
      </c>
      <c r="D1237" s="5">
        <v>163.552503756</v>
      </c>
      <c r="E1237" s="5">
        <v>243.0676939652</v>
      </c>
      <c r="F1237" s="5">
        <v>214.261805629626</v>
      </c>
      <c r="G1237" s="5">
        <v>214.261805629626</v>
      </c>
      <c r="H1237" s="5">
        <v>-11.9046605275136</v>
      </c>
      <c r="I1237" s="5">
        <v>-11.9046605275136</v>
      </c>
      <c r="J1237" s="5">
        <v>-11.9046605275136</v>
      </c>
      <c r="K1237" s="5">
        <v>-0.739640081280721</v>
      </c>
      <c r="L1237" s="5">
        <v>-0.739640081280721</v>
      </c>
      <c r="M1237" s="5">
        <v>-0.739640081280721</v>
      </c>
      <c r="N1237" s="5">
        <v>-11.1650204462329</v>
      </c>
      <c r="O1237" s="5">
        <v>-11.1650204462329</v>
      </c>
      <c r="P1237" s="5">
        <v>-11.1650204462329</v>
      </c>
      <c r="Q1237" s="5">
        <v>0.0</v>
      </c>
      <c r="R1237" s="5">
        <v>0.0</v>
      </c>
      <c r="S1237" s="5">
        <v>0.0</v>
      </c>
      <c r="T1237" s="5">
        <v>202.357145102112</v>
      </c>
    </row>
    <row r="1238">
      <c r="A1238" s="5">
        <v>1236.0</v>
      </c>
      <c r="B1238" s="6">
        <v>45376.0</v>
      </c>
      <c r="C1238" s="5">
        <v>214.312928549512</v>
      </c>
      <c r="D1238" s="5">
        <v>168.518245914249</v>
      </c>
      <c r="E1238" s="5">
        <v>248.894245712159</v>
      </c>
      <c r="F1238" s="5">
        <v>214.312928549512</v>
      </c>
      <c r="G1238" s="5">
        <v>214.312928549512</v>
      </c>
      <c r="H1238" s="5">
        <v>-6.66169920470429</v>
      </c>
      <c r="I1238" s="5">
        <v>-6.66169920470429</v>
      </c>
      <c r="J1238" s="5">
        <v>-6.66169920470429</v>
      </c>
      <c r="K1238" s="5">
        <v>1.16457933345034</v>
      </c>
      <c r="L1238" s="5">
        <v>1.16457933345034</v>
      </c>
      <c r="M1238" s="5">
        <v>1.16457933345034</v>
      </c>
      <c r="N1238" s="5">
        <v>-7.82627853815463</v>
      </c>
      <c r="O1238" s="5">
        <v>-7.82627853815463</v>
      </c>
      <c r="P1238" s="5">
        <v>-7.82627853815463</v>
      </c>
      <c r="Q1238" s="5">
        <v>0.0</v>
      </c>
      <c r="R1238" s="5">
        <v>0.0</v>
      </c>
      <c r="S1238" s="5">
        <v>0.0</v>
      </c>
      <c r="T1238" s="5">
        <v>207.651229344807</v>
      </c>
    </row>
    <row r="1239">
      <c r="A1239" s="5">
        <v>1237.0</v>
      </c>
      <c r="B1239" s="6">
        <v>45377.0</v>
      </c>
      <c r="C1239" s="5">
        <v>214.329969522807</v>
      </c>
      <c r="D1239" s="5">
        <v>167.071686743794</v>
      </c>
      <c r="E1239" s="5">
        <v>245.24431674183</v>
      </c>
      <c r="F1239" s="5">
        <v>214.329969522807</v>
      </c>
      <c r="G1239" s="5">
        <v>214.329969522807</v>
      </c>
      <c r="H1239" s="5">
        <v>-6.66502984278362</v>
      </c>
      <c r="I1239" s="5">
        <v>-6.66502984278362</v>
      </c>
      <c r="J1239" s="5">
        <v>-6.66502984278362</v>
      </c>
      <c r="K1239" s="5">
        <v>0.247324772136484</v>
      </c>
      <c r="L1239" s="5">
        <v>0.247324772136484</v>
      </c>
      <c r="M1239" s="5">
        <v>0.247324772136484</v>
      </c>
      <c r="N1239" s="5">
        <v>-6.9123546149201</v>
      </c>
      <c r="O1239" s="5">
        <v>-6.9123546149201</v>
      </c>
      <c r="P1239" s="5">
        <v>-6.9123546149201</v>
      </c>
      <c r="Q1239" s="5">
        <v>0.0</v>
      </c>
      <c r="R1239" s="5">
        <v>0.0</v>
      </c>
      <c r="S1239" s="5">
        <v>0.0</v>
      </c>
      <c r="T1239" s="5">
        <v>207.664939680023</v>
      </c>
    </row>
    <row r="1240">
      <c r="A1240" s="5">
        <v>1238.0</v>
      </c>
      <c r="B1240" s="6">
        <v>45378.0</v>
      </c>
      <c r="C1240" s="5">
        <v>214.347010496102</v>
      </c>
      <c r="D1240" s="5">
        <v>167.281924970511</v>
      </c>
      <c r="E1240" s="5">
        <v>249.405460612026</v>
      </c>
      <c r="F1240" s="5">
        <v>214.347010496102</v>
      </c>
      <c r="G1240" s="5">
        <v>214.347010496102</v>
      </c>
      <c r="H1240" s="5">
        <v>-5.51579162530904</v>
      </c>
      <c r="I1240" s="5">
        <v>-5.51579162530904</v>
      </c>
      <c r="J1240" s="5">
        <v>-5.51579162530904</v>
      </c>
      <c r="K1240" s="5">
        <v>0.608132553626232</v>
      </c>
      <c r="L1240" s="5">
        <v>0.608132553626232</v>
      </c>
      <c r="M1240" s="5">
        <v>0.608132553626232</v>
      </c>
      <c r="N1240" s="5">
        <v>-6.12392417893527</v>
      </c>
      <c r="O1240" s="5">
        <v>-6.12392417893527</v>
      </c>
      <c r="P1240" s="5">
        <v>-6.12392417893527</v>
      </c>
      <c r="Q1240" s="5">
        <v>0.0</v>
      </c>
      <c r="R1240" s="5">
        <v>0.0</v>
      </c>
      <c r="S1240" s="5">
        <v>0.0</v>
      </c>
      <c r="T1240" s="5">
        <v>208.831218870793</v>
      </c>
    </row>
    <row r="1241">
      <c r="A1241" s="5">
        <v>1239.0</v>
      </c>
      <c r="B1241" s="6">
        <v>45379.0</v>
      </c>
      <c r="C1241" s="5">
        <v>214.364051469397</v>
      </c>
      <c r="D1241" s="5">
        <v>168.807187579464</v>
      </c>
      <c r="E1241" s="5">
        <v>251.582967021265</v>
      </c>
      <c r="F1241" s="5">
        <v>214.364051469397</v>
      </c>
      <c r="G1241" s="5">
        <v>214.364051469397</v>
      </c>
      <c r="H1241" s="5">
        <v>-5.69663566211973</v>
      </c>
      <c r="I1241" s="5">
        <v>-5.69663566211973</v>
      </c>
      <c r="J1241" s="5">
        <v>-5.69663566211973</v>
      </c>
      <c r="K1241" s="5">
        <v>-0.22541790534542</v>
      </c>
      <c r="L1241" s="5">
        <v>-0.22541790534542</v>
      </c>
      <c r="M1241" s="5">
        <v>-0.22541790534542</v>
      </c>
      <c r="N1241" s="5">
        <v>-5.47121775677431</v>
      </c>
      <c r="O1241" s="5">
        <v>-5.47121775677431</v>
      </c>
      <c r="P1241" s="5">
        <v>-5.47121775677431</v>
      </c>
      <c r="Q1241" s="5">
        <v>0.0</v>
      </c>
      <c r="R1241" s="5">
        <v>0.0</v>
      </c>
      <c r="S1241" s="5">
        <v>0.0</v>
      </c>
      <c r="T1241" s="5">
        <v>208.667415807278</v>
      </c>
    </row>
    <row r="1242">
      <c r="A1242" s="5">
        <v>1240.0</v>
      </c>
      <c r="B1242" s="6">
        <v>45383.0</v>
      </c>
      <c r="C1242" s="5">
        <v>214.432215362579</v>
      </c>
      <c r="D1242" s="5">
        <v>169.850148279021</v>
      </c>
      <c r="E1242" s="5">
        <v>251.612696728694</v>
      </c>
      <c r="F1242" s="5">
        <v>214.432215362579</v>
      </c>
      <c r="G1242" s="5">
        <v>214.432215362579</v>
      </c>
      <c r="H1242" s="5">
        <v>-3.12699119962534</v>
      </c>
      <c r="I1242" s="5">
        <v>-3.12699119962534</v>
      </c>
      <c r="J1242" s="5">
        <v>-3.12699119962534</v>
      </c>
      <c r="K1242" s="5">
        <v>1.16457933345057</v>
      </c>
      <c r="L1242" s="5">
        <v>1.16457933345057</v>
      </c>
      <c r="M1242" s="5">
        <v>1.16457933345057</v>
      </c>
      <c r="N1242" s="5">
        <v>-4.29157053307592</v>
      </c>
      <c r="O1242" s="5">
        <v>-4.29157053307592</v>
      </c>
      <c r="P1242" s="5">
        <v>-4.29157053307592</v>
      </c>
      <c r="Q1242" s="5">
        <v>0.0</v>
      </c>
      <c r="R1242" s="5">
        <v>0.0</v>
      </c>
      <c r="S1242" s="5">
        <v>0.0</v>
      </c>
      <c r="T1242" s="5">
        <v>211.305224162953</v>
      </c>
    </row>
    <row r="1243">
      <c r="A1243" s="5">
        <v>1241.0</v>
      </c>
      <c r="B1243" s="6">
        <v>45384.0</v>
      </c>
      <c r="C1243" s="5">
        <v>214.449256335874</v>
      </c>
      <c r="D1243" s="5">
        <v>172.125914484816</v>
      </c>
      <c r="E1243" s="5">
        <v>251.083473262078</v>
      </c>
      <c r="F1243" s="5">
        <v>214.449256335874</v>
      </c>
      <c r="G1243" s="5">
        <v>214.449256335874</v>
      </c>
      <c r="H1243" s="5">
        <v>-4.09443516121778</v>
      </c>
      <c r="I1243" s="5">
        <v>-4.09443516121778</v>
      </c>
      <c r="J1243" s="5">
        <v>-4.09443516121778</v>
      </c>
      <c r="K1243" s="5">
        <v>0.247324772139293</v>
      </c>
      <c r="L1243" s="5">
        <v>0.247324772139293</v>
      </c>
      <c r="M1243" s="5">
        <v>0.247324772139293</v>
      </c>
      <c r="N1243" s="5">
        <v>-4.34175993335707</v>
      </c>
      <c r="O1243" s="5">
        <v>-4.34175993335707</v>
      </c>
      <c r="P1243" s="5">
        <v>-4.34175993335707</v>
      </c>
      <c r="Q1243" s="5">
        <v>0.0</v>
      </c>
      <c r="R1243" s="5">
        <v>0.0</v>
      </c>
      <c r="S1243" s="5">
        <v>0.0</v>
      </c>
      <c r="T1243" s="5">
        <v>210.354821174656</v>
      </c>
    </row>
    <row r="1244">
      <c r="A1244" s="5">
        <v>1242.0</v>
      </c>
      <c r="B1244" s="6">
        <v>45385.0</v>
      </c>
      <c r="C1244" s="5">
        <v>214.466297309169</v>
      </c>
      <c r="D1244" s="5">
        <v>167.036640489946</v>
      </c>
      <c r="E1244" s="5">
        <v>251.523907678554</v>
      </c>
      <c r="F1244" s="5">
        <v>214.466297309169</v>
      </c>
      <c r="G1244" s="5">
        <v>214.466297309169</v>
      </c>
      <c r="H1244" s="5">
        <v>-3.90567405831365</v>
      </c>
      <c r="I1244" s="5">
        <v>-3.90567405831365</v>
      </c>
      <c r="J1244" s="5">
        <v>-3.90567405831365</v>
      </c>
      <c r="K1244" s="5">
        <v>0.608132553629565</v>
      </c>
      <c r="L1244" s="5">
        <v>0.608132553629565</v>
      </c>
      <c r="M1244" s="5">
        <v>0.608132553629565</v>
      </c>
      <c r="N1244" s="5">
        <v>-4.51380661194321</v>
      </c>
      <c r="O1244" s="5">
        <v>-4.51380661194321</v>
      </c>
      <c r="P1244" s="5">
        <v>-4.51380661194321</v>
      </c>
      <c r="Q1244" s="5">
        <v>0.0</v>
      </c>
      <c r="R1244" s="5">
        <v>0.0</v>
      </c>
      <c r="S1244" s="5">
        <v>0.0</v>
      </c>
      <c r="T1244" s="5">
        <v>210.560623250855</v>
      </c>
    </row>
    <row r="1245">
      <c r="A1245" s="5">
        <v>1243.0</v>
      </c>
      <c r="B1245" s="6">
        <v>45386.0</v>
      </c>
      <c r="C1245" s="5">
        <v>214.483338282464</v>
      </c>
      <c r="D1245" s="5">
        <v>168.544694397067</v>
      </c>
      <c r="E1245" s="5">
        <v>248.812883589366</v>
      </c>
      <c r="F1245" s="5">
        <v>214.483338282464</v>
      </c>
      <c r="G1245" s="5">
        <v>214.483338282464</v>
      </c>
      <c r="H1245" s="5">
        <v>-5.02049721295189</v>
      </c>
      <c r="I1245" s="5">
        <v>-5.02049721295189</v>
      </c>
      <c r="J1245" s="5">
        <v>-5.02049721295189</v>
      </c>
      <c r="K1245" s="5">
        <v>-0.225417905348385</v>
      </c>
      <c r="L1245" s="5">
        <v>-0.225417905348385</v>
      </c>
      <c r="M1245" s="5">
        <v>-0.225417905348385</v>
      </c>
      <c r="N1245" s="5">
        <v>-4.7950793076035</v>
      </c>
      <c r="O1245" s="5">
        <v>-4.7950793076035</v>
      </c>
      <c r="P1245" s="5">
        <v>-4.7950793076035</v>
      </c>
      <c r="Q1245" s="5">
        <v>0.0</v>
      </c>
      <c r="R1245" s="5">
        <v>0.0</v>
      </c>
      <c r="S1245" s="5">
        <v>0.0</v>
      </c>
      <c r="T1245" s="5">
        <v>209.462841069512</v>
      </c>
    </row>
    <row r="1246">
      <c r="A1246" s="5">
        <v>1244.0</v>
      </c>
      <c r="B1246" s="6">
        <v>45387.0</v>
      </c>
      <c r="C1246" s="5">
        <v>214.50037925576</v>
      </c>
      <c r="D1246" s="5">
        <v>168.926257243786</v>
      </c>
      <c r="E1246" s="5">
        <v>249.292489633746</v>
      </c>
      <c r="F1246" s="5">
        <v>214.50037925576</v>
      </c>
      <c r="G1246" s="5">
        <v>214.50037925576</v>
      </c>
      <c r="H1246" s="5">
        <v>-5.91072015962405</v>
      </c>
      <c r="I1246" s="5">
        <v>-5.91072015962405</v>
      </c>
      <c r="J1246" s="5">
        <v>-5.91072015962405</v>
      </c>
      <c r="K1246" s="5">
        <v>-0.739640081280971</v>
      </c>
      <c r="L1246" s="5">
        <v>-0.739640081280971</v>
      </c>
      <c r="M1246" s="5">
        <v>-0.739640081280971</v>
      </c>
      <c r="N1246" s="5">
        <v>-5.17108007834308</v>
      </c>
      <c r="O1246" s="5">
        <v>-5.17108007834308</v>
      </c>
      <c r="P1246" s="5">
        <v>-5.17108007834308</v>
      </c>
      <c r="Q1246" s="5">
        <v>0.0</v>
      </c>
      <c r="R1246" s="5">
        <v>0.0</v>
      </c>
      <c r="S1246" s="5">
        <v>0.0</v>
      </c>
      <c r="T1246" s="5">
        <v>208.589659096136</v>
      </c>
    </row>
    <row r="1247">
      <c r="A1247" s="5">
        <v>1245.0</v>
      </c>
      <c r="B1247" s="6">
        <v>45390.0</v>
      </c>
      <c r="C1247" s="5">
        <v>214.551502175645</v>
      </c>
      <c r="D1247" s="5">
        <v>170.678287754704</v>
      </c>
      <c r="E1247" s="5">
        <v>248.612601840167</v>
      </c>
      <c r="F1247" s="5">
        <v>214.551502175645</v>
      </c>
      <c r="G1247" s="5">
        <v>214.551502175645</v>
      </c>
      <c r="H1247" s="5">
        <v>-5.54088289882358</v>
      </c>
      <c r="I1247" s="5">
        <v>-5.54088289882358</v>
      </c>
      <c r="J1247" s="5">
        <v>-5.54088289882358</v>
      </c>
      <c r="K1247" s="5">
        <v>1.16457933345101</v>
      </c>
      <c r="L1247" s="5">
        <v>1.16457933345101</v>
      </c>
      <c r="M1247" s="5">
        <v>1.16457933345101</v>
      </c>
      <c r="N1247" s="5">
        <v>-6.7054622322746</v>
      </c>
      <c r="O1247" s="5">
        <v>-6.7054622322746</v>
      </c>
      <c r="P1247" s="5">
        <v>-6.7054622322746</v>
      </c>
      <c r="Q1247" s="5">
        <v>0.0</v>
      </c>
      <c r="R1247" s="5">
        <v>0.0</v>
      </c>
      <c r="S1247" s="5">
        <v>0.0</v>
      </c>
      <c r="T1247" s="5">
        <v>209.010619276822</v>
      </c>
    </row>
    <row r="1248">
      <c r="A1248" s="5">
        <v>1246.0</v>
      </c>
      <c r="B1248" s="6">
        <v>45391.0</v>
      </c>
      <c r="C1248" s="5">
        <v>214.568543148941</v>
      </c>
      <c r="D1248" s="5">
        <v>167.228263842967</v>
      </c>
      <c r="E1248" s="5">
        <v>249.212100090178</v>
      </c>
      <c r="F1248" s="5">
        <v>214.568543148941</v>
      </c>
      <c r="G1248" s="5">
        <v>214.568543148941</v>
      </c>
      <c r="H1248" s="5">
        <v>-7.04915761560868</v>
      </c>
      <c r="I1248" s="5">
        <v>-7.04915761560868</v>
      </c>
      <c r="J1248" s="5">
        <v>-7.04915761560868</v>
      </c>
      <c r="K1248" s="5">
        <v>0.247324772139381</v>
      </c>
      <c r="L1248" s="5">
        <v>0.247324772139381</v>
      </c>
      <c r="M1248" s="5">
        <v>0.247324772139381</v>
      </c>
      <c r="N1248" s="5">
        <v>-7.29648238774806</v>
      </c>
      <c r="O1248" s="5">
        <v>-7.29648238774806</v>
      </c>
      <c r="P1248" s="5">
        <v>-7.29648238774806</v>
      </c>
      <c r="Q1248" s="5">
        <v>0.0</v>
      </c>
      <c r="R1248" s="5">
        <v>0.0</v>
      </c>
      <c r="S1248" s="5">
        <v>0.0</v>
      </c>
      <c r="T1248" s="5">
        <v>207.519385533332</v>
      </c>
    </row>
    <row r="1249">
      <c r="A1249" s="5">
        <v>1247.0</v>
      </c>
      <c r="B1249" s="6">
        <v>45392.0</v>
      </c>
      <c r="C1249" s="5">
        <v>214.585584122236</v>
      </c>
      <c r="D1249" s="5">
        <v>168.019996338253</v>
      </c>
      <c r="E1249" s="5">
        <v>250.427342197463</v>
      </c>
      <c r="F1249" s="5">
        <v>214.585584122236</v>
      </c>
      <c r="G1249" s="5">
        <v>214.585584122236</v>
      </c>
      <c r="H1249" s="5">
        <v>-7.29208665171027</v>
      </c>
      <c r="I1249" s="5">
        <v>-7.29208665171027</v>
      </c>
      <c r="J1249" s="5">
        <v>-7.29208665171027</v>
      </c>
      <c r="K1249" s="5">
        <v>0.608132553626007</v>
      </c>
      <c r="L1249" s="5">
        <v>0.608132553626007</v>
      </c>
      <c r="M1249" s="5">
        <v>0.608132553626007</v>
      </c>
      <c r="N1249" s="5">
        <v>-7.90021920533628</v>
      </c>
      <c r="O1249" s="5">
        <v>-7.90021920533628</v>
      </c>
      <c r="P1249" s="5">
        <v>-7.90021920533628</v>
      </c>
      <c r="Q1249" s="5">
        <v>0.0</v>
      </c>
      <c r="R1249" s="5">
        <v>0.0</v>
      </c>
      <c r="S1249" s="5">
        <v>0.0</v>
      </c>
      <c r="T1249" s="5">
        <v>207.293497470526</v>
      </c>
    </row>
    <row r="1250">
      <c r="A1250" s="5">
        <v>1248.0</v>
      </c>
      <c r="B1250" s="6">
        <v>45393.0</v>
      </c>
      <c r="C1250" s="5">
        <v>214.602625095531</v>
      </c>
      <c r="D1250" s="5">
        <v>166.850134639481</v>
      </c>
      <c r="E1250" s="5">
        <v>244.359515828677</v>
      </c>
      <c r="F1250" s="5">
        <v>214.602625095531</v>
      </c>
      <c r="G1250" s="5">
        <v>214.602625095531</v>
      </c>
      <c r="H1250" s="5">
        <v>-8.7274087325716</v>
      </c>
      <c r="I1250" s="5">
        <v>-8.7274087325716</v>
      </c>
      <c r="J1250" s="5">
        <v>-8.7274087325716</v>
      </c>
      <c r="K1250" s="5">
        <v>-0.22541790535135</v>
      </c>
      <c r="L1250" s="5">
        <v>-0.22541790535135</v>
      </c>
      <c r="M1250" s="5">
        <v>-0.22541790535135</v>
      </c>
      <c r="N1250" s="5">
        <v>-8.50199082722025</v>
      </c>
      <c r="O1250" s="5">
        <v>-8.50199082722025</v>
      </c>
      <c r="P1250" s="5">
        <v>-8.50199082722025</v>
      </c>
      <c r="Q1250" s="5">
        <v>0.0</v>
      </c>
      <c r="R1250" s="5">
        <v>0.0</v>
      </c>
      <c r="S1250" s="5">
        <v>0.0</v>
      </c>
      <c r="T1250" s="5">
        <v>205.87521636296</v>
      </c>
    </row>
    <row r="1251">
      <c r="A1251" s="5">
        <v>1249.0</v>
      </c>
      <c r="B1251" s="6">
        <v>45394.0</v>
      </c>
      <c r="C1251" s="5">
        <v>214.619666068826</v>
      </c>
      <c r="D1251" s="5">
        <v>163.605863870705</v>
      </c>
      <c r="E1251" s="5">
        <v>245.116695193108</v>
      </c>
      <c r="F1251" s="5">
        <v>214.619666068826</v>
      </c>
      <c r="G1251" s="5">
        <v>214.619666068826</v>
      </c>
      <c r="H1251" s="5">
        <v>-9.82838924078892</v>
      </c>
      <c r="I1251" s="5">
        <v>-9.82838924078892</v>
      </c>
      <c r="J1251" s="5">
        <v>-9.82838924078892</v>
      </c>
      <c r="K1251" s="5">
        <v>-0.739640081282126</v>
      </c>
      <c r="L1251" s="5">
        <v>-0.739640081282126</v>
      </c>
      <c r="M1251" s="5">
        <v>-0.739640081282126</v>
      </c>
      <c r="N1251" s="5">
        <v>-9.08874915950679</v>
      </c>
      <c r="O1251" s="5">
        <v>-9.08874915950679</v>
      </c>
      <c r="P1251" s="5">
        <v>-9.08874915950679</v>
      </c>
      <c r="Q1251" s="5">
        <v>0.0</v>
      </c>
      <c r="R1251" s="5">
        <v>0.0</v>
      </c>
      <c r="S1251" s="5">
        <v>0.0</v>
      </c>
      <c r="T1251" s="5">
        <v>204.791276828038</v>
      </c>
    </row>
    <row r="1252">
      <c r="A1252" s="5">
        <v>1250.0</v>
      </c>
      <c r="B1252" s="6">
        <v>45397.0</v>
      </c>
      <c r="C1252" s="5">
        <v>214.670788988712</v>
      </c>
      <c r="D1252" s="5">
        <v>165.348312643203</v>
      </c>
      <c r="E1252" s="5">
        <v>244.870662727745</v>
      </c>
      <c r="F1252" s="5">
        <v>214.670788988712</v>
      </c>
      <c r="G1252" s="5">
        <v>214.670788988712</v>
      </c>
      <c r="H1252" s="5">
        <v>-9.49510927676317</v>
      </c>
      <c r="I1252" s="5">
        <v>-9.49510927676317</v>
      </c>
      <c r="J1252" s="5">
        <v>-9.49510927676317</v>
      </c>
      <c r="K1252" s="5">
        <v>1.16457933345125</v>
      </c>
      <c r="L1252" s="5">
        <v>1.16457933345125</v>
      </c>
      <c r="M1252" s="5">
        <v>1.16457933345125</v>
      </c>
      <c r="N1252" s="5">
        <v>-10.6596886102144</v>
      </c>
      <c r="O1252" s="5">
        <v>-10.6596886102144</v>
      </c>
      <c r="P1252" s="5">
        <v>-10.6596886102144</v>
      </c>
      <c r="Q1252" s="5">
        <v>0.0</v>
      </c>
      <c r="R1252" s="5">
        <v>0.0</v>
      </c>
      <c r="S1252" s="5">
        <v>0.0</v>
      </c>
      <c r="T1252" s="5">
        <v>205.175679711949</v>
      </c>
    </row>
    <row r="1253">
      <c r="A1253" s="5">
        <v>1251.0</v>
      </c>
      <c r="B1253" s="6">
        <v>45398.0</v>
      </c>
      <c r="C1253" s="5">
        <v>214.687829962008</v>
      </c>
      <c r="D1253" s="5">
        <v>162.080770687327</v>
      </c>
      <c r="E1253" s="5">
        <v>245.835559929962</v>
      </c>
      <c r="F1253" s="5">
        <v>214.687829962008</v>
      </c>
      <c r="G1253" s="5">
        <v>214.687829962008</v>
      </c>
      <c r="H1253" s="5">
        <v>-10.8517477198843</v>
      </c>
      <c r="I1253" s="5">
        <v>-10.8517477198843</v>
      </c>
      <c r="J1253" s="5">
        <v>-10.8517477198843</v>
      </c>
      <c r="K1253" s="5">
        <v>0.247324772139469</v>
      </c>
      <c r="L1253" s="5">
        <v>0.247324772139469</v>
      </c>
      <c r="M1253" s="5">
        <v>0.247324772139469</v>
      </c>
      <c r="N1253" s="5">
        <v>-11.0990724920237</v>
      </c>
      <c r="O1253" s="5">
        <v>-11.0990724920237</v>
      </c>
      <c r="P1253" s="5">
        <v>-11.0990724920237</v>
      </c>
      <c r="Q1253" s="5">
        <v>0.0</v>
      </c>
      <c r="R1253" s="5">
        <v>0.0</v>
      </c>
      <c r="S1253" s="5">
        <v>0.0</v>
      </c>
      <c r="T1253" s="5">
        <v>203.836082242123</v>
      </c>
    </row>
    <row r="1254">
      <c r="A1254" s="5">
        <v>1252.0</v>
      </c>
      <c r="B1254" s="6">
        <v>45399.0</v>
      </c>
      <c r="C1254" s="5">
        <v>214.704870935303</v>
      </c>
      <c r="D1254" s="5">
        <v>164.443098549747</v>
      </c>
      <c r="E1254" s="5">
        <v>247.775005963559</v>
      </c>
      <c r="F1254" s="5">
        <v>214.704870935303</v>
      </c>
      <c r="G1254" s="5">
        <v>214.704870935303</v>
      </c>
      <c r="H1254" s="5">
        <v>-10.883963021123</v>
      </c>
      <c r="I1254" s="5">
        <v>-10.883963021123</v>
      </c>
      <c r="J1254" s="5">
        <v>-10.883963021123</v>
      </c>
      <c r="K1254" s="5">
        <v>0.608132553627786</v>
      </c>
      <c r="L1254" s="5">
        <v>0.608132553627786</v>
      </c>
      <c r="M1254" s="5">
        <v>0.608132553627786</v>
      </c>
      <c r="N1254" s="5">
        <v>-11.4920955747508</v>
      </c>
      <c r="O1254" s="5">
        <v>-11.4920955747508</v>
      </c>
      <c r="P1254" s="5">
        <v>-11.4920955747508</v>
      </c>
      <c r="Q1254" s="5">
        <v>0.0</v>
      </c>
      <c r="R1254" s="5">
        <v>0.0</v>
      </c>
      <c r="S1254" s="5">
        <v>0.0</v>
      </c>
      <c r="T1254" s="5">
        <v>203.82090791418</v>
      </c>
    </row>
    <row r="1255">
      <c r="A1255" s="5">
        <v>1253.0</v>
      </c>
      <c r="B1255" s="6">
        <v>45400.0</v>
      </c>
      <c r="C1255" s="5">
        <v>214.721911908598</v>
      </c>
      <c r="D1255" s="5">
        <v>163.109391701382</v>
      </c>
      <c r="E1255" s="5">
        <v>243.988125822365</v>
      </c>
      <c r="F1255" s="5">
        <v>214.721911908598</v>
      </c>
      <c r="G1255" s="5">
        <v>214.721911908598</v>
      </c>
      <c r="H1255" s="5">
        <v>-12.0654366883072</v>
      </c>
      <c r="I1255" s="5">
        <v>-12.0654366883072</v>
      </c>
      <c r="J1255" s="5">
        <v>-12.0654366883072</v>
      </c>
      <c r="K1255" s="5">
        <v>-0.225417905350929</v>
      </c>
      <c r="L1255" s="5">
        <v>-0.225417905350929</v>
      </c>
      <c r="M1255" s="5">
        <v>-0.225417905350929</v>
      </c>
      <c r="N1255" s="5">
        <v>-11.8400187829562</v>
      </c>
      <c r="O1255" s="5">
        <v>-11.8400187829562</v>
      </c>
      <c r="P1255" s="5">
        <v>-11.8400187829562</v>
      </c>
      <c r="Q1255" s="5">
        <v>0.0</v>
      </c>
      <c r="R1255" s="5">
        <v>0.0</v>
      </c>
      <c r="S1255" s="5">
        <v>0.0</v>
      </c>
      <c r="T1255" s="5">
        <v>202.656475220291</v>
      </c>
    </row>
    <row r="1256">
      <c r="A1256" s="5">
        <v>1254.0</v>
      </c>
      <c r="B1256" s="6">
        <v>45401.0</v>
      </c>
      <c r="C1256" s="5">
        <v>214.738952881893</v>
      </c>
      <c r="D1256" s="5">
        <v>160.809684973553</v>
      </c>
      <c r="E1256" s="5">
        <v>243.411749200797</v>
      </c>
      <c r="F1256" s="5">
        <v>214.738952881893</v>
      </c>
      <c r="G1256" s="5">
        <v>214.738952881893</v>
      </c>
      <c r="H1256" s="5">
        <v>-12.8861161356811</v>
      </c>
      <c r="I1256" s="5">
        <v>-12.8861161356811</v>
      </c>
      <c r="J1256" s="5">
        <v>-12.8861161356811</v>
      </c>
      <c r="K1256" s="5">
        <v>-0.73964008128122</v>
      </c>
      <c r="L1256" s="5">
        <v>-0.73964008128122</v>
      </c>
      <c r="M1256" s="5">
        <v>-0.73964008128122</v>
      </c>
      <c r="N1256" s="5">
        <v>-12.1464760543998</v>
      </c>
      <c r="O1256" s="5">
        <v>-12.1464760543998</v>
      </c>
      <c r="P1256" s="5">
        <v>-12.1464760543998</v>
      </c>
      <c r="Q1256" s="5">
        <v>0.0</v>
      </c>
      <c r="R1256" s="5">
        <v>0.0</v>
      </c>
      <c r="S1256" s="5">
        <v>0.0</v>
      </c>
      <c r="T1256" s="5">
        <v>201.852836746212</v>
      </c>
    </row>
    <row r="1257">
      <c r="A1257" s="5">
        <v>1255.0</v>
      </c>
      <c r="B1257" s="6">
        <v>45404.0</v>
      </c>
      <c r="C1257" s="5">
        <v>214.790075801779</v>
      </c>
      <c r="D1257" s="5">
        <v>163.18714696314</v>
      </c>
      <c r="E1257" s="5">
        <v>245.83151014366</v>
      </c>
      <c r="F1257" s="5">
        <v>214.790075801779</v>
      </c>
      <c r="G1257" s="5">
        <v>214.790075801779</v>
      </c>
      <c r="H1257" s="5">
        <v>-11.7194244530209</v>
      </c>
      <c r="I1257" s="5">
        <v>-11.7194244530209</v>
      </c>
      <c r="J1257" s="5">
        <v>-11.7194244530209</v>
      </c>
      <c r="K1257" s="5">
        <v>1.16457933345148</v>
      </c>
      <c r="L1257" s="5">
        <v>1.16457933345148</v>
      </c>
      <c r="M1257" s="5">
        <v>1.16457933345148</v>
      </c>
      <c r="N1257" s="5">
        <v>-12.8840037864723</v>
      </c>
      <c r="O1257" s="5">
        <v>-12.8840037864723</v>
      </c>
      <c r="P1257" s="5">
        <v>-12.8840037864723</v>
      </c>
      <c r="Q1257" s="5">
        <v>0.0</v>
      </c>
      <c r="R1257" s="5">
        <v>0.0</v>
      </c>
      <c r="S1257" s="5">
        <v>0.0</v>
      </c>
      <c r="T1257" s="5">
        <v>203.070651348758</v>
      </c>
    </row>
    <row r="1258">
      <c r="A1258" s="5">
        <v>1256.0</v>
      </c>
      <c r="B1258" s="6">
        <v>45405.0</v>
      </c>
      <c r="C1258" s="5">
        <v>214.807116775074</v>
      </c>
      <c r="D1258" s="5">
        <v>163.169321570716</v>
      </c>
      <c r="E1258" s="5">
        <v>241.43939080373</v>
      </c>
      <c r="F1258" s="5">
        <v>214.807116775074</v>
      </c>
      <c r="G1258" s="5">
        <v>214.807116775074</v>
      </c>
      <c r="H1258" s="5">
        <v>-12.8521983176252</v>
      </c>
      <c r="I1258" s="5">
        <v>-12.8521983176252</v>
      </c>
      <c r="J1258" s="5">
        <v>-12.8521983176252</v>
      </c>
      <c r="K1258" s="5">
        <v>0.247324772138135</v>
      </c>
      <c r="L1258" s="5">
        <v>0.247324772138135</v>
      </c>
      <c r="M1258" s="5">
        <v>0.247324772138135</v>
      </c>
      <c r="N1258" s="5">
        <v>-13.0995230897634</v>
      </c>
      <c r="O1258" s="5">
        <v>-13.0995230897634</v>
      </c>
      <c r="P1258" s="5">
        <v>-13.0995230897634</v>
      </c>
      <c r="Q1258" s="5">
        <v>0.0</v>
      </c>
      <c r="R1258" s="5">
        <v>0.0</v>
      </c>
      <c r="S1258" s="5">
        <v>0.0</v>
      </c>
      <c r="T1258" s="5">
        <v>201.954918457449</v>
      </c>
    </row>
    <row r="1259">
      <c r="A1259" s="5">
        <v>1257.0</v>
      </c>
      <c r="B1259" s="6">
        <v>45406.0</v>
      </c>
      <c r="C1259" s="5">
        <v>214.82415774837</v>
      </c>
      <c r="D1259" s="5">
        <v>163.512476587902</v>
      </c>
      <c r="E1259" s="5">
        <v>243.229369853349</v>
      </c>
      <c r="F1259" s="5">
        <v>214.82415774837</v>
      </c>
      <c r="G1259" s="5">
        <v>214.82415774837</v>
      </c>
      <c r="H1259" s="5">
        <v>-12.7095472341586</v>
      </c>
      <c r="I1259" s="5">
        <v>-12.7095472341586</v>
      </c>
      <c r="J1259" s="5">
        <v>-12.7095472341586</v>
      </c>
      <c r="K1259" s="5">
        <v>0.608132553626896</v>
      </c>
      <c r="L1259" s="5">
        <v>0.608132553626896</v>
      </c>
      <c r="M1259" s="5">
        <v>0.608132553626896</v>
      </c>
      <c r="N1259" s="5">
        <v>-13.3176797877855</v>
      </c>
      <c r="O1259" s="5">
        <v>-13.3176797877855</v>
      </c>
      <c r="P1259" s="5">
        <v>-13.3176797877855</v>
      </c>
      <c r="Q1259" s="5">
        <v>0.0</v>
      </c>
      <c r="R1259" s="5">
        <v>0.0</v>
      </c>
      <c r="S1259" s="5">
        <v>0.0</v>
      </c>
      <c r="T1259" s="5">
        <v>202.114610514211</v>
      </c>
    </row>
    <row r="1260">
      <c r="A1260" s="5">
        <v>1258.0</v>
      </c>
      <c r="B1260" s="6">
        <v>45407.0</v>
      </c>
      <c r="C1260" s="5">
        <v>214.841198721665</v>
      </c>
      <c r="D1260" s="5">
        <v>161.540424814044</v>
      </c>
      <c r="E1260" s="5">
        <v>243.317107335912</v>
      </c>
      <c r="F1260" s="5">
        <v>214.841198721665</v>
      </c>
      <c r="G1260" s="5">
        <v>214.841198721665</v>
      </c>
      <c r="H1260" s="5">
        <v>-13.775276431733</v>
      </c>
      <c r="I1260" s="5">
        <v>-13.775276431733</v>
      </c>
      <c r="J1260" s="5">
        <v>-13.775276431733</v>
      </c>
      <c r="K1260" s="5">
        <v>-0.225417905351967</v>
      </c>
      <c r="L1260" s="5">
        <v>-0.225417905351967</v>
      </c>
      <c r="M1260" s="5">
        <v>-0.225417905351967</v>
      </c>
      <c r="N1260" s="5">
        <v>-13.5498585263811</v>
      </c>
      <c r="O1260" s="5">
        <v>-13.5498585263811</v>
      </c>
      <c r="P1260" s="5">
        <v>-13.5498585263811</v>
      </c>
      <c r="Q1260" s="5">
        <v>0.0</v>
      </c>
      <c r="R1260" s="5">
        <v>0.0</v>
      </c>
      <c r="S1260" s="5">
        <v>0.0</v>
      </c>
      <c r="T1260" s="5">
        <v>201.065922289932</v>
      </c>
    </row>
    <row r="1261">
      <c r="A1261" s="5">
        <v>1259.0</v>
      </c>
      <c r="B1261" s="6">
        <v>45408.0</v>
      </c>
      <c r="C1261" s="5">
        <v>214.85823969496</v>
      </c>
      <c r="D1261" s="5">
        <v>163.667212242715</v>
      </c>
      <c r="E1261" s="5">
        <v>240.5271668524</v>
      </c>
      <c r="F1261" s="5">
        <v>214.85823969496</v>
      </c>
      <c r="G1261" s="5">
        <v>214.85823969496</v>
      </c>
      <c r="H1261" s="5">
        <v>-14.5469375440609</v>
      </c>
      <c r="I1261" s="5">
        <v>-14.5469375440609</v>
      </c>
      <c r="J1261" s="5">
        <v>-14.5469375440609</v>
      </c>
      <c r="K1261" s="5">
        <v>-0.739640081278944</v>
      </c>
      <c r="L1261" s="5">
        <v>-0.739640081278944</v>
      </c>
      <c r="M1261" s="5">
        <v>-0.739640081278944</v>
      </c>
      <c r="N1261" s="5">
        <v>-13.807297462782</v>
      </c>
      <c r="O1261" s="5">
        <v>-13.807297462782</v>
      </c>
      <c r="P1261" s="5">
        <v>-13.807297462782</v>
      </c>
      <c r="Q1261" s="5">
        <v>0.0</v>
      </c>
      <c r="R1261" s="5">
        <v>0.0</v>
      </c>
      <c r="S1261" s="5">
        <v>0.0</v>
      </c>
      <c r="T1261" s="5">
        <v>200.311302150899</v>
      </c>
    </row>
    <row r="1262">
      <c r="A1262" s="5">
        <v>1260.0</v>
      </c>
      <c r="B1262" s="6">
        <v>45409.0</v>
      </c>
      <c r="C1262" s="5">
        <v>214.875280668255</v>
      </c>
      <c r="D1262" s="5">
        <v>159.430275404781</v>
      </c>
      <c r="E1262" s="5">
        <v>242.326588264581</v>
      </c>
      <c r="F1262" s="5">
        <v>214.875280668255</v>
      </c>
      <c r="G1262" s="5">
        <v>214.875280668255</v>
      </c>
      <c r="H1262" s="5">
        <v>-14.6281417807307</v>
      </c>
      <c r="I1262" s="5">
        <v>-14.6281417807307</v>
      </c>
      <c r="J1262" s="5">
        <v>-14.6281417807307</v>
      </c>
      <c r="K1262" s="5">
        <v>-0.527488577462177</v>
      </c>
      <c r="L1262" s="5">
        <v>-0.527488577462177</v>
      </c>
      <c r="M1262" s="5">
        <v>-0.527488577462177</v>
      </c>
      <c r="N1262" s="5">
        <v>-14.1006532032685</v>
      </c>
      <c r="O1262" s="5">
        <v>-14.1006532032685</v>
      </c>
      <c r="P1262" s="5">
        <v>-14.1006532032685</v>
      </c>
      <c r="Q1262" s="5">
        <v>0.0</v>
      </c>
      <c r="R1262" s="5">
        <v>0.0</v>
      </c>
      <c r="S1262" s="5">
        <v>0.0</v>
      </c>
      <c r="T1262" s="5">
        <v>200.247138887525</v>
      </c>
    </row>
    <row r="1263">
      <c r="A1263" s="5">
        <v>1261.0</v>
      </c>
      <c r="B1263" s="6">
        <v>45410.0</v>
      </c>
      <c r="C1263" s="5">
        <v>214.892321641551</v>
      </c>
      <c r="D1263" s="5">
        <v>157.740533609362</v>
      </c>
      <c r="E1263" s="5">
        <v>243.086812031913</v>
      </c>
      <c r="F1263" s="5">
        <v>214.892321641551</v>
      </c>
      <c r="G1263" s="5">
        <v>214.892321641551</v>
      </c>
      <c r="H1263" s="5">
        <v>-14.9670772059607</v>
      </c>
      <c r="I1263" s="5">
        <v>-14.9670772059607</v>
      </c>
      <c r="J1263" s="5">
        <v>-14.9670772059607</v>
      </c>
      <c r="K1263" s="5">
        <v>-0.52749009512153</v>
      </c>
      <c r="L1263" s="5">
        <v>-0.52749009512153</v>
      </c>
      <c r="M1263" s="5">
        <v>-0.52749009512153</v>
      </c>
      <c r="N1263" s="5">
        <v>-14.4395871108392</v>
      </c>
      <c r="O1263" s="5">
        <v>-14.4395871108392</v>
      </c>
      <c r="P1263" s="5">
        <v>-14.4395871108392</v>
      </c>
      <c r="Q1263" s="5">
        <v>0.0</v>
      </c>
      <c r="R1263" s="5">
        <v>0.0</v>
      </c>
      <c r="S1263" s="5">
        <v>0.0</v>
      </c>
      <c r="T1263" s="5">
        <v>199.92524443559</v>
      </c>
    </row>
    <row r="1264">
      <c r="A1264" s="5">
        <v>1262.0</v>
      </c>
      <c r="B1264" s="6">
        <v>45411.0</v>
      </c>
      <c r="C1264" s="5">
        <v>214.909362614846</v>
      </c>
      <c r="D1264" s="5">
        <v>159.390158162031</v>
      </c>
      <c r="E1264" s="5">
        <v>241.170918357552</v>
      </c>
      <c r="F1264" s="5">
        <v>214.909362614846</v>
      </c>
      <c r="G1264" s="5">
        <v>214.909362614846</v>
      </c>
      <c r="H1264" s="5">
        <v>-13.6678062368376</v>
      </c>
      <c r="I1264" s="5">
        <v>-13.6678062368376</v>
      </c>
      <c r="J1264" s="5">
        <v>-13.6678062368376</v>
      </c>
      <c r="K1264" s="5">
        <v>1.1645793334502</v>
      </c>
      <c r="L1264" s="5">
        <v>1.1645793334502</v>
      </c>
      <c r="M1264" s="5">
        <v>1.1645793334502</v>
      </c>
      <c r="N1264" s="5">
        <v>-14.8323855702878</v>
      </c>
      <c r="O1264" s="5">
        <v>-14.8323855702878</v>
      </c>
      <c r="P1264" s="5">
        <v>-14.8323855702878</v>
      </c>
      <c r="Q1264" s="5">
        <v>0.0</v>
      </c>
      <c r="R1264" s="5">
        <v>0.0</v>
      </c>
      <c r="S1264" s="5">
        <v>0.0</v>
      </c>
      <c r="T1264" s="5">
        <v>201.241556378008</v>
      </c>
    </row>
    <row r="1265">
      <c r="A1265" s="5">
        <v>1263.0</v>
      </c>
      <c r="B1265" s="6">
        <v>45412.0</v>
      </c>
      <c r="C1265" s="5">
        <v>214.926403588141</v>
      </c>
      <c r="D1265" s="5">
        <v>165.224677377339</v>
      </c>
      <c r="E1265" s="5">
        <v>241.793665597756</v>
      </c>
      <c r="F1265" s="5">
        <v>214.926403588141</v>
      </c>
      <c r="G1265" s="5">
        <v>214.926403588141</v>
      </c>
      <c r="H1265" s="5">
        <v>-15.0383008671124</v>
      </c>
      <c r="I1265" s="5">
        <v>-15.0383008671124</v>
      </c>
      <c r="J1265" s="5">
        <v>-15.0383008671124</v>
      </c>
      <c r="K1265" s="5">
        <v>0.24732477213952</v>
      </c>
      <c r="L1265" s="5">
        <v>0.24732477213952</v>
      </c>
      <c r="M1265" s="5">
        <v>0.24732477213952</v>
      </c>
      <c r="N1265" s="5">
        <v>-15.2856256392519</v>
      </c>
      <c r="O1265" s="5">
        <v>-15.2856256392519</v>
      </c>
      <c r="P1265" s="5">
        <v>-15.2856256392519</v>
      </c>
      <c r="Q1265" s="5">
        <v>0.0</v>
      </c>
      <c r="R1265" s="5">
        <v>0.0</v>
      </c>
      <c r="S1265" s="5">
        <v>0.0</v>
      </c>
      <c r="T1265" s="5">
        <v>199.888102721029</v>
      </c>
    </row>
    <row r="1266">
      <c r="A1266" s="5">
        <v>1264.0</v>
      </c>
      <c r="B1266" s="6">
        <v>45413.0</v>
      </c>
      <c r="C1266" s="5">
        <v>214.943444561436</v>
      </c>
      <c r="D1266" s="5">
        <v>158.787215293724</v>
      </c>
      <c r="E1266" s="5">
        <v>239.586716272856</v>
      </c>
      <c r="F1266" s="5">
        <v>214.943444561436</v>
      </c>
      <c r="G1266" s="5">
        <v>214.943444561436</v>
      </c>
      <c r="H1266" s="5">
        <v>-15.1957634770662</v>
      </c>
      <c r="I1266" s="5">
        <v>-15.1957634770662</v>
      </c>
      <c r="J1266" s="5">
        <v>-15.1957634770662</v>
      </c>
      <c r="K1266" s="5">
        <v>0.608132553626006</v>
      </c>
      <c r="L1266" s="5">
        <v>0.608132553626006</v>
      </c>
      <c r="M1266" s="5">
        <v>0.608132553626006</v>
      </c>
      <c r="N1266" s="5">
        <v>-15.8038960306922</v>
      </c>
      <c r="O1266" s="5">
        <v>-15.8038960306922</v>
      </c>
      <c r="P1266" s="5">
        <v>-15.8038960306922</v>
      </c>
      <c r="Q1266" s="5">
        <v>0.0</v>
      </c>
      <c r="R1266" s="5">
        <v>0.0</v>
      </c>
      <c r="S1266" s="5">
        <v>0.0</v>
      </c>
      <c r="T1266" s="5">
        <v>199.74768108437</v>
      </c>
    </row>
    <row r="1267">
      <c r="A1267" s="5">
        <v>1265.0</v>
      </c>
      <c r="B1267" s="6">
        <v>45414.0</v>
      </c>
      <c r="C1267" s="5">
        <v>214.960485534732</v>
      </c>
      <c r="D1267" s="5">
        <v>157.645151582856</v>
      </c>
      <c r="E1267" s="5">
        <v>239.725555644357</v>
      </c>
      <c r="F1267" s="5">
        <v>214.960485534732</v>
      </c>
      <c r="G1267" s="5">
        <v>214.960485534732</v>
      </c>
      <c r="H1267" s="5">
        <v>-16.6149995170095</v>
      </c>
      <c r="I1267" s="5">
        <v>-16.6149995170095</v>
      </c>
      <c r="J1267" s="5">
        <v>-16.6149995170095</v>
      </c>
      <c r="K1267" s="5">
        <v>-0.225417905348161</v>
      </c>
      <c r="L1267" s="5">
        <v>-0.225417905348161</v>
      </c>
      <c r="M1267" s="5">
        <v>-0.225417905348161</v>
      </c>
      <c r="N1267" s="5">
        <v>-16.3895816116613</v>
      </c>
      <c r="O1267" s="5">
        <v>-16.3895816116613</v>
      </c>
      <c r="P1267" s="5">
        <v>-16.3895816116613</v>
      </c>
      <c r="Q1267" s="5">
        <v>0.0</v>
      </c>
      <c r="R1267" s="5">
        <v>0.0</v>
      </c>
      <c r="S1267" s="5">
        <v>0.0</v>
      </c>
      <c r="T1267" s="5">
        <v>198.345486017722</v>
      </c>
    </row>
    <row r="1268">
      <c r="A1268" s="5">
        <v>1266.0</v>
      </c>
      <c r="B1268" s="6">
        <v>45415.0</v>
      </c>
      <c r="C1268" s="5">
        <v>214.977526508027</v>
      </c>
      <c r="D1268" s="5">
        <v>155.726942938969</v>
      </c>
      <c r="E1268" s="5">
        <v>237.142555071021</v>
      </c>
      <c r="F1268" s="5">
        <v>214.977526508027</v>
      </c>
      <c r="G1268" s="5">
        <v>214.977526508027</v>
      </c>
      <c r="H1268" s="5">
        <v>-17.7823577012399</v>
      </c>
      <c r="I1268" s="5">
        <v>-17.7823577012399</v>
      </c>
      <c r="J1268" s="5">
        <v>-17.7823577012399</v>
      </c>
      <c r="K1268" s="5">
        <v>-0.739640081283532</v>
      </c>
      <c r="L1268" s="5">
        <v>-0.739640081283532</v>
      </c>
      <c r="M1268" s="5">
        <v>-0.739640081283532</v>
      </c>
      <c r="N1268" s="5">
        <v>-17.0427176199564</v>
      </c>
      <c r="O1268" s="5">
        <v>-17.0427176199564</v>
      </c>
      <c r="P1268" s="5">
        <v>-17.0427176199564</v>
      </c>
      <c r="Q1268" s="5">
        <v>0.0</v>
      </c>
      <c r="R1268" s="5">
        <v>0.0</v>
      </c>
      <c r="S1268" s="5">
        <v>0.0</v>
      </c>
      <c r="T1268" s="5">
        <v>197.195168806787</v>
      </c>
    </row>
    <row r="1269">
      <c r="A1269" s="5">
        <v>1267.0</v>
      </c>
      <c r="B1269" s="6">
        <v>45416.0</v>
      </c>
      <c r="C1269" s="5">
        <v>214.994567481322</v>
      </c>
      <c r="D1269" s="5">
        <v>155.181988593049</v>
      </c>
      <c r="E1269" s="5">
        <v>238.058231318742</v>
      </c>
      <c r="F1269" s="5">
        <v>214.994567481322</v>
      </c>
      <c r="G1269" s="5">
        <v>214.994567481322</v>
      </c>
      <c r="H1269" s="5">
        <v>-18.2884062322493</v>
      </c>
      <c r="I1269" s="5">
        <v>-18.2884062322493</v>
      </c>
      <c r="J1269" s="5">
        <v>-18.2884062322493</v>
      </c>
      <c r="K1269" s="5">
        <v>-0.527488577464124</v>
      </c>
      <c r="L1269" s="5">
        <v>-0.527488577464124</v>
      </c>
      <c r="M1269" s="5">
        <v>-0.527488577464124</v>
      </c>
      <c r="N1269" s="5">
        <v>-17.7609176547852</v>
      </c>
      <c r="O1269" s="5">
        <v>-17.7609176547852</v>
      </c>
      <c r="P1269" s="5">
        <v>-17.7609176547852</v>
      </c>
      <c r="Q1269" s="5">
        <v>0.0</v>
      </c>
      <c r="R1269" s="5">
        <v>0.0</v>
      </c>
      <c r="S1269" s="5">
        <v>0.0</v>
      </c>
      <c r="T1269" s="5">
        <v>196.706161249073</v>
      </c>
    </row>
    <row r="1270">
      <c r="A1270" s="5">
        <v>1268.0</v>
      </c>
      <c r="B1270" s="6">
        <v>45417.0</v>
      </c>
      <c r="C1270" s="5">
        <v>215.011608454618</v>
      </c>
      <c r="D1270" s="5">
        <v>155.684941009349</v>
      </c>
      <c r="E1270" s="5">
        <v>235.236776939536</v>
      </c>
      <c r="F1270" s="5">
        <v>215.011608454618</v>
      </c>
      <c r="G1270" s="5">
        <v>215.011608454618</v>
      </c>
      <c r="H1270" s="5">
        <v>-19.0668673496978</v>
      </c>
      <c r="I1270" s="5">
        <v>-19.0668673496978</v>
      </c>
      <c r="J1270" s="5">
        <v>-19.0668673496978</v>
      </c>
      <c r="K1270" s="5">
        <v>-0.527490095121183</v>
      </c>
      <c r="L1270" s="5">
        <v>-0.527490095121183</v>
      </c>
      <c r="M1270" s="5">
        <v>-0.527490095121183</v>
      </c>
      <c r="N1270" s="5">
        <v>-18.5393772545766</v>
      </c>
      <c r="O1270" s="5">
        <v>-18.5393772545766</v>
      </c>
      <c r="P1270" s="5">
        <v>-18.5393772545766</v>
      </c>
      <c r="Q1270" s="5">
        <v>0.0</v>
      </c>
      <c r="R1270" s="5">
        <v>0.0</v>
      </c>
      <c r="S1270" s="5">
        <v>0.0</v>
      </c>
      <c r="T1270" s="5">
        <v>195.94474110492</v>
      </c>
    </row>
    <row r="1271">
      <c r="A1271" s="5">
        <v>1269.0</v>
      </c>
      <c r="B1271" s="6">
        <v>45418.0</v>
      </c>
      <c r="C1271" s="5">
        <v>215.028649427913</v>
      </c>
      <c r="D1271" s="5">
        <v>152.790186293922</v>
      </c>
      <c r="E1271" s="5">
        <v>236.25637881432</v>
      </c>
      <c r="F1271" s="5">
        <v>215.028649427913</v>
      </c>
      <c r="G1271" s="5">
        <v>215.028649427913</v>
      </c>
      <c r="H1271" s="5">
        <v>-18.2063732680809</v>
      </c>
      <c r="I1271" s="5">
        <v>-18.2063732680809</v>
      </c>
      <c r="J1271" s="5">
        <v>-18.2063732680809</v>
      </c>
      <c r="K1271" s="5">
        <v>1.16457933345043</v>
      </c>
      <c r="L1271" s="5">
        <v>1.16457933345043</v>
      </c>
      <c r="M1271" s="5">
        <v>1.16457933345043</v>
      </c>
      <c r="N1271" s="5">
        <v>-19.3709526015314</v>
      </c>
      <c r="O1271" s="5">
        <v>-19.3709526015314</v>
      </c>
      <c r="P1271" s="5">
        <v>-19.3709526015314</v>
      </c>
      <c r="Q1271" s="5">
        <v>0.0</v>
      </c>
      <c r="R1271" s="5">
        <v>0.0</v>
      </c>
      <c r="S1271" s="5">
        <v>0.0</v>
      </c>
      <c r="T1271" s="5">
        <v>196.822276159832</v>
      </c>
    </row>
    <row r="1272">
      <c r="A1272" s="5">
        <v>1270.0</v>
      </c>
      <c r="B1272" s="6">
        <v>45419.0</v>
      </c>
      <c r="C1272" s="5">
        <v>215.045690401208</v>
      </c>
      <c r="D1272" s="5">
        <v>152.457411428994</v>
      </c>
      <c r="E1272" s="5">
        <v>235.578543954464</v>
      </c>
      <c r="F1272" s="5">
        <v>215.045690401208</v>
      </c>
      <c r="G1272" s="5">
        <v>215.045690401208</v>
      </c>
      <c r="H1272" s="5">
        <v>-19.9989868832945</v>
      </c>
      <c r="I1272" s="5">
        <v>-19.9989868832945</v>
      </c>
      <c r="J1272" s="5">
        <v>-19.9989868832945</v>
      </c>
      <c r="K1272" s="5">
        <v>0.247324772138186</v>
      </c>
      <c r="L1272" s="5">
        <v>0.247324772138186</v>
      </c>
      <c r="M1272" s="5">
        <v>0.247324772138186</v>
      </c>
      <c r="N1272" s="5">
        <v>-20.2463116554327</v>
      </c>
      <c r="O1272" s="5">
        <v>-20.2463116554327</v>
      </c>
      <c r="P1272" s="5">
        <v>-20.2463116554327</v>
      </c>
      <c r="Q1272" s="5">
        <v>0.0</v>
      </c>
      <c r="R1272" s="5">
        <v>0.0</v>
      </c>
      <c r="S1272" s="5">
        <v>0.0</v>
      </c>
      <c r="T1272" s="5">
        <v>195.046703517913</v>
      </c>
    </row>
    <row r="1273">
      <c r="A1273" s="5">
        <v>1271.0</v>
      </c>
      <c r="B1273" s="6">
        <v>45420.0</v>
      </c>
      <c r="C1273" s="5">
        <v>215.062731374503</v>
      </c>
      <c r="D1273" s="5">
        <v>155.593755251735</v>
      </c>
      <c r="E1273" s="5">
        <v>235.594558870864</v>
      </c>
      <c r="F1273" s="5">
        <v>215.062731374503</v>
      </c>
      <c r="G1273" s="5">
        <v>215.062731374503</v>
      </c>
      <c r="H1273" s="5">
        <v>-20.5460203303634</v>
      </c>
      <c r="I1273" s="5">
        <v>-20.5460203303634</v>
      </c>
      <c r="J1273" s="5">
        <v>-20.5460203303634</v>
      </c>
      <c r="K1273" s="5">
        <v>0.608132553625117</v>
      </c>
      <c r="L1273" s="5">
        <v>0.608132553625117</v>
      </c>
      <c r="M1273" s="5">
        <v>0.608132553625117</v>
      </c>
      <c r="N1273" s="5">
        <v>-21.1541528839885</v>
      </c>
      <c r="O1273" s="5">
        <v>-21.1541528839885</v>
      </c>
      <c r="P1273" s="5">
        <v>-21.1541528839885</v>
      </c>
      <c r="Q1273" s="5">
        <v>0.0</v>
      </c>
      <c r="R1273" s="5">
        <v>0.0</v>
      </c>
      <c r="S1273" s="5">
        <v>0.0</v>
      </c>
      <c r="T1273" s="5">
        <v>194.51671104414</v>
      </c>
    </row>
    <row r="1274">
      <c r="A1274" s="5">
        <v>1272.0</v>
      </c>
      <c r="B1274" s="6">
        <v>45421.0</v>
      </c>
      <c r="C1274" s="5">
        <v>215.079772347799</v>
      </c>
      <c r="D1274" s="5">
        <v>153.520891470523</v>
      </c>
      <c r="E1274" s="5">
        <v>233.384590717107</v>
      </c>
      <c r="F1274" s="5">
        <v>215.079772347799</v>
      </c>
      <c r="G1274" s="5">
        <v>215.079772347799</v>
      </c>
      <c r="H1274" s="5">
        <v>-22.3069026907591</v>
      </c>
      <c r="I1274" s="5">
        <v>-22.3069026907591</v>
      </c>
      <c r="J1274" s="5">
        <v>-22.3069026907591</v>
      </c>
      <c r="K1274" s="5">
        <v>-0.225417905351125</v>
      </c>
      <c r="L1274" s="5">
        <v>-0.225417905351125</v>
      </c>
      <c r="M1274" s="5">
        <v>-0.225417905351125</v>
      </c>
      <c r="N1274" s="5">
        <v>-22.081484785408</v>
      </c>
      <c r="O1274" s="5">
        <v>-22.081484785408</v>
      </c>
      <c r="P1274" s="5">
        <v>-22.081484785408</v>
      </c>
      <c r="Q1274" s="5">
        <v>0.0</v>
      </c>
      <c r="R1274" s="5">
        <v>0.0</v>
      </c>
      <c r="S1274" s="5">
        <v>0.0</v>
      </c>
      <c r="T1274" s="5">
        <v>192.772869657039</v>
      </c>
    </row>
    <row r="1275">
      <c r="A1275" s="5">
        <v>1273.0</v>
      </c>
      <c r="B1275" s="6">
        <v>45422.0</v>
      </c>
      <c r="C1275" s="5">
        <v>215.096813321094</v>
      </c>
      <c r="D1275" s="5">
        <v>151.786032586594</v>
      </c>
      <c r="E1275" s="5">
        <v>231.166623992916</v>
      </c>
      <c r="F1275" s="5">
        <v>215.096813321094</v>
      </c>
      <c r="G1275" s="5">
        <v>215.096813321094</v>
      </c>
      <c r="H1275" s="5">
        <v>-23.7535977284455</v>
      </c>
      <c r="I1275" s="5">
        <v>-23.7535977284455</v>
      </c>
      <c r="J1275" s="5">
        <v>-23.7535977284455</v>
      </c>
      <c r="K1275" s="5">
        <v>-0.739640081281255</v>
      </c>
      <c r="L1275" s="5">
        <v>-0.739640081281255</v>
      </c>
      <c r="M1275" s="5">
        <v>-0.739640081281255</v>
      </c>
      <c r="N1275" s="5">
        <v>-23.0139576471643</v>
      </c>
      <c r="O1275" s="5">
        <v>-23.0139576471643</v>
      </c>
      <c r="P1275" s="5">
        <v>-23.0139576471643</v>
      </c>
      <c r="Q1275" s="5">
        <v>0.0</v>
      </c>
      <c r="R1275" s="5">
        <v>0.0</v>
      </c>
      <c r="S1275" s="5">
        <v>0.0</v>
      </c>
      <c r="T1275" s="5">
        <v>191.343215592648</v>
      </c>
    </row>
    <row r="1276">
      <c r="A1276" s="5">
        <v>1274.0</v>
      </c>
      <c r="B1276" s="6">
        <v>45423.0</v>
      </c>
      <c r="C1276" s="5">
        <v>215.113854294389</v>
      </c>
      <c r="D1276" s="5">
        <v>149.34191251577</v>
      </c>
      <c r="E1276" s="5">
        <v>232.716653494958</v>
      </c>
      <c r="F1276" s="5">
        <v>215.113854294389</v>
      </c>
      <c r="G1276" s="5">
        <v>215.113854294389</v>
      </c>
      <c r="H1276" s="5">
        <v>-24.463726079755</v>
      </c>
      <c r="I1276" s="5">
        <v>-24.463726079755</v>
      </c>
      <c r="J1276" s="5">
        <v>-24.463726079755</v>
      </c>
      <c r="K1276" s="5">
        <v>-0.527488577464454</v>
      </c>
      <c r="L1276" s="5">
        <v>-0.527488577464454</v>
      </c>
      <c r="M1276" s="5">
        <v>-0.527488577464454</v>
      </c>
      <c r="N1276" s="5">
        <v>-23.9362375022905</v>
      </c>
      <c r="O1276" s="5">
        <v>-23.9362375022905</v>
      </c>
      <c r="P1276" s="5">
        <v>-23.9362375022905</v>
      </c>
      <c r="Q1276" s="5">
        <v>0.0</v>
      </c>
      <c r="R1276" s="5">
        <v>0.0</v>
      </c>
      <c r="S1276" s="5">
        <v>0.0</v>
      </c>
      <c r="T1276" s="5">
        <v>190.650128214634</v>
      </c>
    </row>
    <row r="1277">
      <c r="A1277" s="5">
        <v>1275.0</v>
      </c>
      <c r="B1277" s="6">
        <v>45424.0</v>
      </c>
      <c r="C1277" s="5">
        <v>215.130895267684</v>
      </c>
      <c r="D1277" s="5">
        <v>150.591113540834</v>
      </c>
      <c r="E1277" s="5">
        <v>228.838575814884</v>
      </c>
      <c r="F1277" s="5">
        <v>215.130895267684</v>
      </c>
      <c r="G1277" s="5">
        <v>215.130895267684</v>
      </c>
      <c r="H1277" s="5">
        <v>-25.3599011672992</v>
      </c>
      <c r="I1277" s="5">
        <v>-25.3599011672992</v>
      </c>
      <c r="J1277" s="5">
        <v>-25.3599011672992</v>
      </c>
      <c r="K1277" s="5">
        <v>-0.527490095120835</v>
      </c>
      <c r="L1277" s="5">
        <v>-0.527490095120835</v>
      </c>
      <c r="M1277" s="5">
        <v>-0.527490095120835</v>
      </c>
      <c r="N1277" s="5">
        <v>-24.8324110721784</v>
      </c>
      <c r="O1277" s="5">
        <v>-24.8324110721784</v>
      </c>
      <c r="P1277" s="5">
        <v>-24.8324110721784</v>
      </c>
      <c r="Q1277" s="5">
        <v>0.0</v>
      </c>
      <c r="R1277" s="5">
        <v>0.0</v>
      </c>
      <c r="S1277" s="5">
        <v>0.0</v>
      </c>
      <c r="T1277" s="5">
        <v>189.770994100385</v>
      </c>
    </row>
    <row r="1278">
      <c r="A1278" s="5">
        <v>1276.0</v>
      </c>
      <c r="B1278" s="6">
        <v>45425.0</v>
      </c>
      <c r="C1278" s="5">
        <v>215.14793624098</v>
      </c>
      <c r="D1278" s="5">
        <v>149.000656686059</v>
      </c>
      <c r="E1278" s="5">
        <v>231.103375780499</v>
      </c>
      <c r="F1278" s="5">
        <v>215.14793624098</v>
      </c>
      <c r="G1278" s="5">
        <v>215.176049930131</v>
      </c>
      <c r="H1278" s="5">
        <v>-24.5218303203659</v>
      </c>
      <c r="I1278" s="5">
        <v>-24.5218303203659</v>
      </c>
      <c r="J1278" s="5">
        <v>-24.5218303203659</v>
      </c>
      <c r="K1278" s="5">
        <v>1.16457933345087</v>
      </c>
      <c r="L1278" s="5">
        <v>1.16457933345087</v>
      </c>
      <c r="M1278" s="5">
        <v>1.16457933345087</v>
      </c>
      <c r="N1278" s="5">
        <v>-25.6864096538167</v>
      </c>
      <c r="O1278" s="5">
        <v>-25.6864096538167</v>
      </c>
      <c r="P1278" s="5">
        <v>-25.6864096538167</v>
      </c>
      <c r="Q1278" s="5">
        <v>0.0</v>
      </c>
      <c r="R1278" s="5">
        <v>0.0</v>
      </c>
      <c r="S1278" s="5">
        <v>0.0</v>
      </c>
      <c r="T1278" s="5">
        <v>190.626105920614</v>
      </c>
    </row>
    <row r="1279">
      <c r="A1279" s="5">
        <v>1277.0</v>
      </c>
      <c r="B1279" s="6">
        <v>45426.0</v>
      </c>
      <c r="C1279" s="5">
        <v>215.164977214275</v>
      </c>
      <c r="D1279" s="5">
        <v>150.366976853213</v>
      </c>
      <c r="E1279" s="5">
        <v>231.010619694397</v>
      </c>
      <c r="F1279" s="5">
        <v>215.164030285711</v>
      </c>
      <c r="G1279" s="5">
        <v>215.224753584534</v>
      </c>
      <c r="H1279" s="5">
        <v>-26.23511466883</v>
      </c>
      <c r="I1279" s="5">
        <v>-26.23511466883</v>
      </c>
      <c r="J1279" s="5">
        <v>-26.23511466883</v>
      </c>
      <c r="K1279" s="5">
        <v>0.247324772139697</v>
      </c>
      <c r="L1279" s="5">
        <v>0.247324772139697</v>
      </c>
      <c r="M1279" s="5">
        <v>0.247324772139697</v>
      </c>
      <c r="N1279" s="5">
        <v>-26.4824394409697</v>
      </c>
      <c r="O1279" s="5">
        <v>-26.4824394409697</v>
      </c>
      <c r="P1279" s="5">
        <v>-26.4824394409697</v>
      </c>
      <c r="Q1279" s="5">
        <v>0.0</v>
      </c>
      <c r="R1279" s="5">
        <v>0.0</v>
      </c>
      <c r="S1279" s="5">
        <v>0.0</v>
      </c>
      <c r="T1279" s="5">
        <v>188.929862545445</v>
      </c>
    </row>
    <row r="1280">
      <c r="A1280" s="5">
        <v>1278.0</v>
      </c>
      <c r="B1280" s="6">
        <v>45427.0</v>
      </c>
      <c r="C1280" s="5">
        <v>215.18201818757</v>
      </c>
      <c r="D1280" s="5">
        <v>146.554649272143</v>
      </c>
      <c r="E1280" s="5">
        <v>227.064227732266</v>
      </c>
      <c r="F1280" s="5">
        <v>215.167197837399</v>
      </c>
      <c r="G1280" s="5">
        <v>215.263580475714</v>
      </c>
      <c r="H1280" s="5">
        <v>-26.5972731194304</v>
      </c>
      <c r="I1280" s="5">
        <v>-26.5972731194304</v>
      </c>
      <c r="J1280" s="5">
        <v>-26.5972731194304</v>
      </c>
      <c r="K1280" s="5">
        <v>0.608132553626895</v>
      </c>
      <c r="L1280" s="5">
        <v>0.608132553626895</v>
      </c>
      <c r="M1280" s="5">
        <v>0.608132553626895</v>
      </c>
      <c r="N1280" s="5">
        <v>-27.2054056730573</v>
      </c>
      <c r="O1280" s="5">
        <v>-27.2054056730573</v>
      </c>
      <c r="P1280" s="5">
        <v>-27.2054056730573</v>
      </c>
      <c r="Q1280" s="5">
        <v>0.0</v>
      </c>
      <c r="R1280" s="5">
        <v>0.0</v>
      </c>
      <c r="S1280" s="5">
        <v>0.0</v>
      </c>
      <c r="T1280" s="5">
        <v>188.58474506814</v>
      </c>
    </row>
    <row r="1281">
      <c r="A1281" s="5">
        <v>1279.0</v>
      </c>
      <c r="B1281" s="6">
        <v>45428.0</v>
      </c>
      <c r="C1281" s="5">
        <v>215.199059160865</v>
      </c>
      <c r="D1281" s="5">
        <v>142.618936992396</v>
      </c>
      <c r="E1281" s="5">
        <v>226.534322283399</v>
      </c>
      <c r="F1281" s="5">
        <v>215.148860967299</v>
      </c>
      <c r="G1281" s="5">
        <v>215.311745860996</v>
      </c>
      <c r="H1281" s="5">
        <v>-28.0667361870354</v>
      </c>
      <c r="I1281" s="5">
        <v>-28.0667361870354</v>
      </c>
      <c r="J1281" s="5">
        <v>-28.0667361870354</v>
      </c>
      <c r="K1281" s="5">
        <v>-0.225417905345392</v>
      </c>
      <c r="L1281" s="5">
        <v>-0.225417905345392</v>
      </c>
      <c r="M1281" s="5">
        <v>-0.225417905345392</v>
      </c>
      <c r="N1281" s="5">
        <v>-27.84131828169</v>
      </c>
      <c r="O1281" s="5">
        <v>-27.84131828169</v>
      </c>
      <c r="P1281" s="5">
        <v>-27.84131828169</v>
      </c>
      <c r="Q1281" s="5">
        <v>0.0</v>
      </c>
      <c r="R1281" s="5">
        <v>0.0</v>
      </c>
      <c r="S1281" s="5">
        <v>0.0</v>
      </c>
      <c r="T1281" s="5">
        <v>187.13232297383</v>
      </c>
    </row>
    <row r="1282">
      <c r="A1282" s="5">
        <v>1280.0</v>
      </c>
      <c r="B1282" s="6">
        <v>45429.0</v>
      </c>
      <c r="C1282" s="5">
        <v>215.216100134161</v>
      </c>
      <c r="D1282" s="5">
        <v>145.158787261536</v>
      </c>
      <c r="E1282" s="5">
        <v>226.41287303517</v>
      </c>
      <c r="F1282" s="5">
        <v>215.144129364189</v>
      </c>
      <c r="G1282" s="5">
        <v>215.353299643527</v>
      </c>
      <c r="H1282" s="5">
        <v>-29.1173074222183</v>
      </c>
      <c r="I1282" s="5">
        <v>-29.1173074222183</v>
      </c>
      <c r="J1282" s="5">
        <v>-29.1173074222183</v>
      </c>
      <c r="K1282" s="5">
        <v>-0.739640081278978</v>
      </c>
      <c r="L1282" s="5">
        <v>-0.739640081278978</v>
      </c>
      <c r="M1282" s="5">
        <v>-0.739640081278978</v>
      </c>
      <c r="N1282" s="5">
        <v>-28.3776673409394</v>
      </c>
      <c r="O1282" s="5">
        <v>-28.3776673409394</v>
      </c>
      <c r="P1282" s="5">
        <v>-28.3776673409394</v>
      </c>
      <c r="Q1282" s="5">
        <v>0.0</v>
      </c>
      <c r="R1282" s="5">
        <v>0.0</v>
      </c>
      <c r="S1282" s="5">
        <v>0.0</v>
      </c>
      <c r="T1282" s="5">
        <v>186.098792711942</v>
      </c>
    </row>
    <row r="1283">
      <c r="A1283" s="5">
        <v>1281.0</v>
      </c>
      <c r="B1283" s="6">
        <v>45430.0</v>
      </c>
      <c r="C1283" s="5">
        <v>215.233141107456</v>
      </c>
      <c r="D1283" s="5">
        <v>146.298301833859</v>
      </c>
      <c r="E1283" s="5">
        <v>224.195351808782</v>
      </c>
      <c r="F1283" s="5">
        <v>215.137281751858</v>
      </c>
      <c r="G1283" s="5">
        <v>215.413809322359</v>
      </c>
      <c r="H1283" s="5">
        <v>-29.3312461788886</v>
      </c>
      <c r="I1283" s="5">
        <v>-29.3312461788886</v>
      </c>
      <c r="J1283" s="5">
        <v>-29.3312461788886</v>
      </c>
      <c r="K1283" s="5">
        <v>-0.527488577466401</v>
      </c>
      <c r="L1283" s="5">
        <v>-0.527488577466401</v>
      </c>
      <c r="M1283" s="5">
        <v>-0.527488577466401</v>
      </c>
      <c r="N1283" s="5">
        <v>-28.8037576014221</v>
      </c>
      <c r="O1283" s="5">
        <v>-28.8037576014221</v>
      </c>
      <c r="P1283" s="5">
        <v>-28.8037576014221</v>
      </c>
      <c r="Q1283" s="5">
        <v>0.0</v>
      </c>
      <c r="R1283" s="5">
        <v>0.0</v>
      </c>
      <c r="S1283" s="5">
        <v>0.0</v>
      </c>
      <c r="T1283" s="5">
        <v>185.901894928567</v>
      </c>
    </row>
    <row r="1284">
      <c r="A1284" s="5">
        <v>1282.0</v>
      </c>
      <c r="B1284" s="6">
        <v>45431.0</v>
      </c>
      <c r="C1284" s="5">
        <v>215.250182080751</v>
      </c>
      <c r="D1284" s="5">
        <v>143.827521975011</v>
      </c>
      <c r="E1284" s="5">
        <v>225.132067596492</v>
      </c>
      <c r="F1284" s="5">
        <v>215.127995210092</v>
      </c>
      <c r="G1284" s="5">
        <v>215.465232288407</v>
      </c>
      <c r="H1284" s="5">
        <v>-29.6384827631734</v>
      </c>
      <c r="I1284" s="5">
        <v>-29.6384827631734</v>
      </c>
      <c r="J1284" s="5">
        <v>-29.6384827631734</v>
      </c>
      <c r="K1284" s="5">
        <v>-0.527490095120487</v>
      </c>
      <c r="L1284" s="5">
        <v>-0.527490095120487</v>
      </c>
      <c r="M1284" s="5">
        <v>-0.527490095120487</v>
      </c>
      <c r="N1284" s="5">
        <v>-29.1109926680529</v>
      </c>
      <c r="O1284" s="5">
        <v>-29.1109926680529</v>
      </c>
      <c r="P1284" s="5">
        <v>-29.1109926680529</v>
      </c>
      <c r="Q1284" s="5">
        <v>0.0</v>
      </c>
      <c r="R1284" s="5">
        <v>0.0</v>
      </c>
      <c r="S1284" s="5">
        <v>0.0</v>
      </c>
      <c r="T1284" s="5">
        <v>185.611699317578</v>
      </c>
    </row>
    <row r="1285">
      <c r="A1285" s="5">
        <v>1283.0</v>
      </c>
      <c r="B1285" s="6">
        <v>45432.0</v>
      </c>
      <c r="C1285" s="5">
        <v>215.267223054047</v>
      </c>
      <c r="D1285" s="5">
        <v>147.855873128228</v>
      </c>
      <c r="E1285" s="5">
        <v>229.532504030319</v>
      </c>
      <c r="F1285" s="5">
        <v>215.128084078888</v>
      </c>
      <c r="G1285" s="5">
        <v>215.520493336859</v>
      </c>
      <c r="H1285" s="5">
        <v>-28.1285215926923</v>
      </c>
      <c r="I1285" s="5">
        <v>-28.1285215926923</v>
      </c>
      <c r="J1285" s="5">
        <v>-28.1285215926923</v>
      </c>
      <c r="K1285" s="5">
        <v>1.1645793334511</v>
      </c>
      <c r="L1285" s="5">
        <v>1.1645793334511</v>
      </c>
      <c r="M1285" s="5">
        <v>1.1645793334511</v>
      </c>
      <c r="N1285" s="5">
        <v>-29.2931009261434</v>
      </c>
      <c r="O1285" s="5">
        <v>-29.2931009261434</v>
      </c>
      <c r="P1285" s="5">
        <v>-29.2931009261434</v>
      </c>
      <c r="Q1285" s="5">
        <v>0.0</v>
      </c>
      <c r="R1285" s="5">
        <v>0.0</v>
      </c>
      <c r="S1285" s="5">
        <v>0.0</v>
      </c>
      <c r="T1285" s="5">
        <v>187.138701461354</v>
      </c>
    </row>
    <row r="1286">
      <c r="A1286" s="5">
        <v>1284.0</v>
      </c>
      <c r="B1286" s="6">
        <v>45433.0</v>
      </c>
      <c r="C1286" s="5">
        <v>215.284264027342</v>
      </c>
      <c r="D1286" s="5">
        <v>147.179913181183</v>
      </c>
      <c r="E1286" s="5">
        <v>226.113981842266</v>
      </c>
      <c r="F1286" s="5">
        <v>215.118428082344</v>
      </c>
      <c r="G1286" s="5">
        <v>215.601471838022</v>
      </c>
      <c r="H1286" s="5">
        <v>-29.0989723102869</v>
      </c>
      <c r="I1286" s="5">
        <v>-29.0989723102869</v>
      </c>
      <c r="J1286" s="5">
        <v>-29.0989723102869</v>
      </c>
      <c r="K1286" s="5">
        <v>0.247324772138363</v>
      </c>
      <c r="L1286" s="5">
        <v>0.247324772138363</v>
      </c>
      <c r="M1286" s="5">
        <v>0.247324772138363</v>
      </c>
      <c r="N1286" s="5">
        <v>-29.3462970824253</v>
      </c>
      <c r="O1286" s="5">
        <v>-29.3462970824253</v>
      </c>
      <c r="P1286" s="5">
        <v>-29.3462970824253</v>
      </c>
      <c r="Q1286" s="5">
        <v>0.0</v>
      </c>
      <c r="R1286" s="5">
        <v>0.0</v>
      </c>
      <c r="S1286" s="5">
        <v>0.0</v>
      </c>
      <c r="T1286" s="5">
        <v>186.185291717055</v>
      </c>
    </row>
    <row r="1287">
      <c r="A1287" s="5">
        <v>1285.0</v>
      </c>
      <c r="B1287" s="6">
        <v>45434.0</v>
      </c>
      <c r="C1287" s="5">
        <v>215.301305000637</v>
      </c>
      <c r="D1287" s="5">
        <v>144.64845354214</v>
      </c>
      <c r="E1287" s="5">
        <v>224.255921470463</v>
      </c>
      <c r="F1287" s="5">
        <v>215.080288019799</v>
      </c>
      <c r="G1287" s="5">
        <v>215.662656317619</v>
      </c>
      <c r="H1287" s="5">
        <v>-28.6612425587792</v>
      </c>
      <c r="I1287" s="5">
        <v>-28.6612425587792</v>
      </c>
      <c r="J1287" s="5">
        <v>-28.6612425587792</v>
      </c>
      <c r="K1287" s="5">
        <v>0.60813255362756</v>
      </c>
      <c r="L1287" s="5">
        <v>0.60813255362756</v>
      </c>
      <c r="M1287" s="5">
        <v>0.60813255362756</v>
      </c>
      <c r="N1287" s="5">
        <v>-29.2693751124068</v>
      </c>
      <c r="O1287" s="5">
        <v>-29.2693751124068</v>
      </c>
      <c r="P1287" s="5">
        <v>-29.2693751124068</v>
      </c>
      <c r="Q1287" s="5">
        <v>0.0</v>
      </c>
      <c r="R1287" s="5">
        <v>0.0</v>
      </c>
      <c r="S1287" s="5">
        <v>0.0</v>
      </c>
      <c r="T1287" s="5">
        <v>186.640062441858</v>
      </c>
    </row>
    <row r="1288">
      <c r="A1288" s="5">
        <v>1286.0</v>
      </c>
      <c r="B1288" s="6">
        <v>45435.0</v>
      </c>
      <c r="C1288" s="5">
        <v>215.318345973932</v>
      </c>
      <c r="D1288" s="5">
        <v>142.610848815305</v>
      </c>
      <c r="E1288" s="5">
        <v>226.998741478816</v>
      </c>
      <c r="F1288" s="5">
        <v>215.021402938929</v>
      </c>
      <c r="G1288" s="5">
        <v>215.698469394261</v>
      </c>
      <c r="H1288" s="5">
        <v>-29.289148340445</v>
      </c>
      <c r="I1288" s="5">
        <v>-29.289148340445</v>
      </c>
      <c r="J1288" s="5">
        <v>-29.289148340445</v>
      </c>
      <c r="K1288" s="5">
        <v>-0.225417905348357</v>
      </c>
      <c r="L1288" s="5">
        <v>-0.225417905348357</v>
      </c>
      <c r="M1288" s="5">
        <v>-0.225417905348357</v>
      </c>
      <c r="N1288" s="5">
        <v>-29.0637304350967</v>
      </c>
      <c r="O1288" s="5">
        <v>-29.0637304350967</v>
      </c>
      <c r="P1288" s="5">
        <v>-29.0637304350967</v>
      </c>
      <c r="Q1288" s="5">
        <v>0.0</v>
      </c>
      <c r="R1288" s="5">
        <v>0.0</v>
      </c>
      <c r="S1288" s="5">
        <v>0.0</v>
      </c>
      <c r="T1288" s="5">
        <v>186.029197633487</v>
      </c>
    </row>
    <row r="1289">
      <c r="A1289" s="5">
        <v>1287.0</v>
      </c>
      <c r="B1289" s="6">
        <v>45436.0</v>
      </c>
      <c r="C1289" s="5">
        <v>215.335386947228</v>
      </c>
      <c r="D1289" s="5">
        <v>144.270794805271</v>
      </c>
      <c r="E1289" s="5">
        <v>224.522090917846</v>
      </c>
      <c r="F1289" s="5">
        <v>214.989280205092</v>
      </c>
      <c r="G1289" s="5">
        <v>215.735183044201</v>
      </c>
      <c r="H1289" s="5">
        <v>-29.4729512908891</v>
      </c>
      <c r="I1289" s="5">
        <v>-29.4729512908891</v>
      </c>
      <c r="J1289" s="5">
        <v>-29.4729512908891</v>
      </c>
      <c r="K1289" s="5">
        <v>-0.739640081283566</v>
      </c>
      <c r="L1289" s="5">
        <v>-0.739640081283566</v>
      </c>
      <c r="M1289" s="5">
        <v>-0.739640081283566</v>
      </c>
      <c r="N1289" s="5">
        <v>-28.7333112096055</v>
      </c>
      <c r="O1289" s="5">
        <v>-28.7333112096055</v>
      </c>
      <c r="P1289" s="5">
        <v>-28.7333112096055</v>
      </c>
      <c r="Q1289" s="5">
        <v>0.0</v>
      </c>
      <c r="R1289" s="5">
        <v>0.0</v>
      </c>
      <c r="S1289" s="5">
        <v>0.0</v>
      </c>
      <c r="T1289" s="5">
        <v>185.862435656339</v>
      </c>
    </row>
    <row r="1290">
      <c r="A1290" s="5">
        <v>1288.0</v>
      </c>
      <c r="B1290" s="6">
        <v>45437.0</v>
      </c>
      <c r="C1290" s="5">
        <v>215.352427920523</v>
      </c>
      <c r="D1290" s="5">
        <v>146.224649784782</v>
      </c>
      <c r="E1290" s="5">
        <v>225.974725014588</v>
      </c>
      <c r="F1290" s="5">
        <v>214.938796271657</v>
      </c>
      <c r="G1290" s="5">
        <v>215.799859488012</v>
      </c>
      <c r="H1290" s="5">
        <v>-28.8119892816168</v>
      </c>
      <c r="I1290" s="5">
        <v>-28.8119892816168</v>
      </c>
      <c r="J1290" s="5">
        <v>-28.8119892816168</v>
      </c>
      <c r="K1290" s="5">
        <v>-0.52748857746275</v>
      </c>
      <c r="L1290" s="5">
        <v>-0.52748857746275</v>
      </c>
      <c r="M1290" s="5">
        <v>-0.52748857746275</v>
      </c>
      <c r="N1290" s="5">
        <v>-28.284500704154</v>
      </c>
      <c r="O1290" s="5">
        <v>-28.284500704154</v>
      </c>
      <c r="P1290" s="5">
        <v>-28.284500704154</v>
      </c>
      <c r="Q1290" s="5">
        <v>0.0</v>
      </c>
      <c r="R1290" s="5">
        <v>0.0</v>
      </c>
      <c r="S1290" s="5">
        <v>0.0</v>
      </c>
      <c r="T1290" s="5">
        <v>186.540438638906</v>
      </c>
    </row>
    <row r="1291">
      <c r="A1291" s="5">
        <v>1289.0</v>
      </c>
      <c r="B1291" s="6">
        <v>45438.0</v>
      </c>
      <c r="C1291" s="5">
        <v>215.369468893818</v>
      </c>
      <c r="D1291" s="5">
        <v>148.700722904244</v>
      </c>
      <c r="E1291" s="5">
        <v>227.337318059199</v>
      </c>
      <c r="F1291" s="5">
        <v>214.880359148746</v>
      </c>
      <c r="G1291" s="5">
        <v>215.864785170781</v>
      </c>
      <c r="H1291" s="5">
        <v>-28.253424761241</v>
      </c>
      <c r="I1291" s="5">
        <v>-28.253424761241</v>
      </c>
      <c r="J1291" s="5">
        <v>-28.253424761241</v>
      </c>
      <c r="K1291" s="5">
        <v>-0.527490095124075</v>
      </c>
      <c r="L1291" s="5">
        <v>-0.527490095124075</v>
      </c>
      <c r="M1291" s="5">
        <v>-0.527490095124075</v>
      </c>
      <c r="N1291" s="5">
        <v>-27.7259346661169</v>
      </c>
      <c r="O1291" s="5">
        <v>-27.7259346661169</v>
      </c>
      <c r="P1291" s="5">
        <v>-27.7259346661169</v>
      </c>
      <c r="Q1291" s="5">
        <v>0.0</v>
      </c>
      <c r="R1291" s="5">
        <v>0.0</v>
      </c>
      <c r="S1291" s="5">
        <v>0.0</v>
      </c>
      <c r="T1291" s="5">
        <v>187.116044132577</v>
      </c>
    </row>
  </sheetData>
  <drawing r:id="rId1"/>
</worksheet>
</file>